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R Posts\"/>
    </mc:Choice>
  </mc:AlternateContent>
  <xr:revisionPtr revIDLastSave="0" documentId="8_{D409E839-ED72-4C29-AA1B-FB1B032440FC}" xr6:coauthVersionLast="37" xr6:coauthVersionMax="37" xr10:uidLastSave="{00000000-0000-0000-0000-000000000000}"/>
  <bookViews>
    <workbookView xWindow="0" yWindow="0" windowWidth="17256" windowHeight="5580" xr2:uid="{00000000-000D-0000-FFFF-FFFF00000000}"/>
  </bookViews>
  <sheets>
    <sheet name="lit 2018" sheetId="1" r:id="rId1"/>
  </sheets>
  <definedNames>
    <definedName name="_xlnm.Print_Area" localSheetId="0">'lit 2018'!$A$1:$O$67</definedName>
    <definedName name="Print_Area_MI">'lit 2018'!$A$1:$O$66</definedName>
    <definedName name="_xlnm.Print_Titles" localSheetId="0">'lit 2018'!$A:$B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7" i="1" l="1"/>
  <c r="N21" i="1"/>
  <c r="N25" i="1"/>
  <c r="N24" i="1"/>
  <c r="X44" i="1" l="1"/>
  <c r="X34" i="1"/>
  <c r="X27" i="1"/>
  <c r="X24" i="1"/>
  <c r="X18" i="1"/>
  <c r="X17" i="1"/>
  <c r="X16" i="1"/>
  <c r="X12" i="1"/>
  <c r="N5" i="1" l="1"/>
  <c r="N67" i="1" l="1"/>
  <c r="M67" i="1" l="1"/>
  <c r="L21" i="1" l="1"/>
  <c r="L15" i="1"/>
  <c r="K23" i="1" l="1"/>
  <c r="L67" i="1"/>
  <c r="K17" i="1" l="1"/>
  <c r="K67" i="1" s="1"/>
  <c r="K10" i="1"/>
  <c r="J67" i="1" l="1"/>
  <c r="I17" i="1" l="1"/>
  <c r="I67" i="1" s="1"/>
  <c r="I10" i="1"/>
  <c r="I21" i="1"/>
  <c r="H67" i="1" l="1"/>
  <c r="G17" i="1" l="1"/>
  <c r="G10" i="1"/>
  <c r="G67" i="1" l="1"/>
  <c r="F67" i="1"/>
  <c r="F21" i="1" l="1"/>
  <c r="E15" i="1" l="1"/>
  <c r="E67" i="1" l="1"/>
  <c r="E64" i="1"/>
  <c r="M64" i="1" l="1"/>
  <c r="N64" i="1"/>
  <c r="D10" i="1" l="1"/>
  <c r="D17" i="1"/>
  <c r="D67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C17" i="1" l="1"/>
  <c r="C67" i="1" s="1"/>
  <c r="C10" i="1"/>
  <c r="S37" i="1" l="1"/>
  <c r="L64" i="1" l="1"/>
  <c r="F27" i="1" l="1"/>
  <c r="D27" i="1" l="1"/>
  <c r="O22" i="1" l="1"/>
  <c r="O21" i="1"/>
  <c r="O20" i="1"/>
  <c r="O17" i="1"/>
  <c r="O15" i="1"/>
  <c r="O13" i="1"/>
  <c r="O11" i="1"/>
  <c r="O10" i="1"/>
  <c r="K64" i="1" l="1"/>
  <c r="J64" i="1"/>
  <c r="I64" i="1"/>
  <c r="H64" i="1" l="1"/>
  <c r="G64" i="1" l="1"/>
  <c r="F64" i="1"/>
  <c r="D64" i="1"/>
  <c r="C64" i="1" l="1"/>
  <c r="M59" i="1"/>
  <c r="L59" i="1"/>
  <c r="K59" i="1"/>
  <c r="J59" i="1"/>
  <c r="I59" i="1"/>
  <c r="H59" i="1"/>
  <c r="G59" i="1"/>
  <c r="F59" i="1"/>
  <c r="E59" i="1"/>
  <c r="D59" i="1"/>
  <c r="N56" i="1"/>
  <c r="C56" i="1"/>
  <c r="C59" i="1" s="1"/>
  <c r="N55" i="1" l="1"/>
  <c r="N59" i="1" s="1"/>
  <c r="O45" i="1" l="1"/>
  <c r="Z43" i="1" l="1"/>
  <c r="Y43" i="1"/>
  <c r="X43" i="1" l="1"/>
  <c r="X45" i="1" s="1"/>
  <c r="N39" i="1" l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S36" i="1"/>
  <c r="O36" i="1"/>
  <c r="S35" i="1"/>
  <c r="O35" i="1"/>
  <c r="O38" i="1" l="1"/>
  <c r="S34" i="1"/>
  <c r="Q24" i="1" s="1"/>
  <c r="O34" i="1"/>
  <c r="S33" i="1"/>
  <c r="O33" i="1" l="1"/>
  <c r="S32" i="1"/>
  <c r="O32" i="1"/>
  <c r="S31" i="1"/>
  <c r="Q23" i="1" s="1"/>
  <c r="O31" i="1"/>
  <c r="S30" i="1"/>
  <c r="O30" i="1"/>
  <c r="S29" i="1"/>
  <c r="S28" i="1"/>
  <c r="N28" i="1" l="1"/>
  <c r="M28" i="1" l="1"/>
  <c r="L28" i="1"/>
  <c r="K28" i="1" l="1"/>
  <c r="J28" i="1" l="1"/>
  <c r="I28" i="1"/>
  <c r="H28" i="1"/>
  <c r="G28" i="1"/>
  <c r="F28" i="1" l="1"/>
  <c r="E28" i="1"/>
  <c r="D28" i="1"/>
  <c r="C28" i="1" l="1"/>
  <c r="S27" i="1"/>
  <c r="N27" i="1" l="1"/>
  <c r="M27" i="1"/>
  <c r="L27" i="1"/>
  <c r="K27" i="1"/>
  <c r="J27" i="1" l="1"/>
  <c r="I27" i="1"/>
  <c r="H27" i="1" l="1"/>
  <c r="G27" i="1"/>
  <c r="E27" i="1"/>
  <c r="C27" i="1"/>
  <c r="S26" i="1"/>
  <c r="O26" i="1"/>
  <c r="S25" i="1"/>
  <c r="O25" i="1" l="1"/>
  <c r="S24" i="1" l="1"/>
  <c r="O24" i="1"/>
  <c r="S23" i="1" l="1"/>
  <c r="O23" i="1"/>
  <c r="S22" i="1" l="1"/>
  <c r="S21" i="1"/>
  <c r="O27" i="1" l="1"/>
  <c r="S20" i="1" l="1"/>
  <c r="S19" i="1"/>
  <c r="O19" i="1" l="1"/>
  <c r="S18" i="1"/>
  <c r="O18" i="1"/>
  <c r="S17" i="1"/>
  <c r="S16" i="1"/>
  <c r="Q21" i="1" s="1"/>
  <c r="O16" i="1"/>
  <c r="S15" i="1"/>
  <c r="S14" i="1" l="1"/>
  <c r="O14" i="1"/>
  <c r="S13" i="1"/>
  <c r="S12" i="1"/>
  <c r="O12" i="1"/>
  <c r="S11" i="1"/>
  <c r="S10" i="1"/>
  <c r="S9" i="1"/>
  <c r="O9" i="1"/>
  <c r="N6" i="1"/>
  <c r="N42" i="1" s="1"/>
  <c r="N43" i="1" s="1"/>
  <c r="M6" i="1"/>
  <c r="M42" i="1" s="1"/>
  <c r="M43" i="1" s="1"/>
  <c r="L6" i="1"/>
  <c r="L42" i="1" s="1"/>
  <c r="L43" i="1" s="1"/>
  <c r="L46" i="1" s="1"/>
  <c r="K6" i="1"/>
  <c r="J6" i="1"/>
  <c r="I6" i="1"/>
  <c r="I42" i="1" s="1"/>
  <c r="H6" i="1"/>
  <c r="G6" i="1"/>
  <c r="G42" i="1" s="1"/>
  <c r="G43" i="1" s="1"/>
  <c r="G46" i="1" s="1"/>
  <c r="F6" i="1"/>
  <c r="F42" i="1" s="1"/>
  <c r="F43" i="1" s="1"/>
  <c r="E6" i="1"/>
  <c r="E42" i="1" s="1"/>
  <c r="E43" i="1" s="1"/>
  <c r="D6" i="1"/>
  <c r="C6" i="1"/>
  <c r="C42" i="1" s="1"/>
  <c r="S43" i="1" l="1"/>
  <c r="S46" i="1" s="1"/>
  <c r="Q25" i="1"/>
  <c r="Q27" i="1" s="1"/>
  <c r="C43" i="1"/>
  <c r="C46" i="1" s="1"/>
  <c r="D42" i="1"/>
  <c r="D43" i="1" s="1"/>
  <c r="K40" i="1"/>
  <c r="K42" i="1"/>
  <c r="K43" i="1" s="1"/>
  <c r="K46" i="1" s="1"/>
  <c r="J42" i="1"/>
  <c r="J43" i="1" s="1"/>
  <c r="J40" i="1"/>
  <c r="I40" i="1"/>
  <c r="I43" i="1"/>
  <c r="H40" i="1"/>
  <c r="O39" i="1" s="1"/>
  <c r="H42" i="1"/>
  <c r="H43" i="1" s="1"/>
  <c r="H46" i="1" s="1"/>
  <c r="O28" i="1"/>
  <c r="O5" i="1"/>
  <c r="O6" i="1" s="1"/>
  <c r="D46" i="1" l="1"/>
  <c r="O42" i="1"/>
  <c r="O43" i="1" s="1"/>
  <c r="E46" i="1"/>
  <c r="F46" i="1" l="1"/>
  <c r="I46" i="1" l="1"/>
  <c r="J46" i="1" l="1"/>
  <c r="M46" i="1" l="1"/>
  <c r="N46" i="1" l="1"/>
  <c r="O44" i="1"/>
  <c r="O46" i="1" s="1"/>
</calcChain>
</file>

<file path=xl/sharedStrings.xml><?xml version="1.0" encoding="utf-8"?>
<sst xmlns="http://schemas.openxmlformats.org/spreadsheetml/2006/main" count="125" uniqueCount="109">
  <si>
    <t>REPORT OF THE LITERARY FUND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</si>
  <si>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</si>
  <si>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</si>
  <si>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</si>
  <si>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</si>
  <si>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</si>
  <si>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</si>
  <si>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</si>
  <si>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</si>
  <si>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</si>
  <si>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</si>
  <si>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</si>
  <si>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YEAR TO DATE</t>
  </si>
  <si>
    <t>BEGINNING FUND BALANCE:</t>
  </si>
  <si>
    <t>CASH &amp; INVESTMENTS</t>
  </si>
  <si>
    <t xml:space="preserve">      TOTAL BEGINNING BALANCE</t>
  </si>
  <si>
    <t>RECEIPTS:</t>
  </si>
  <si>
    <t xml:space="preserve">    REVENUES:</t>
  </si>
  <si>
    <t>INTEREST ON INVESTMENTS</t>
  </si>
  <si>
    <t>INVESTMENT FEES</t>
  </si>
  <si>
    <t xml:space="preserve">INTEREST ON UCP BALANCES </t>
  </si>
  <si>
    <t xml:space="preserve">FINES, FEES AND FORFEITURES </t>
  </si>
  <si>
    <t xml:space="preserve">    TRANSFERS FROM VPSA 1987 GENERAL FUND</t>
  </si>
  <si>
    <t xml:space="preserve">    TRANSFERS IN:</t>
  </si>
  <si>
    <t xml:space="preserve">UNCLAIMED PROPERTY </t>
  </si>
  <si>
    <t xml:space="preserve">INTEREST ON FINES, FORFEITURES </t>
  </si>
  <si>
    <t>ESCHEATS</t>
  </si>
  <si>
    <t>UNCLAIMED LOTTERY PRIZES</t>
  </si>
  <si>
    <t>FINES, FEES AND FORFEITURES</t>
  </si>
  <si>
    <t>MISCELLANEOUS</t>
  </si>
  <si>
    <t xml:space="preserve">      TOTAL TRANSFERS</t>
  </si>
  <si>
    <t xml:space="preserve">      TOTAL RECEIPTS</t>
  </si>
  <si>
    <t>DISBURSEMENTS:</t>
  </si>
  <si>
    <t>INTEREST SUBSIDY PROGRAM (GRANTS)</t>
  </si>
  <si>
    <t>EQUIP TECH PMTS/DEBT SERVICE</t>
  </si>
  <si>
    <t>LOAN DISBURSEMENTS</t>
  </si>
  <si>
    <t>TRANSFERS OUT:</t>
  </si>
  <si>
    <t xml:space="preserve">          TOTAL TRANSFERS OUT</t>
  </si>
  <si>
    <t xml:space="preserve">          TOTAL DISBURSEMENTS</t>
  </si>
  <si>
    <t xml:space="preserve">ENDING BALANCE </t>
  </si>
  <si>
    <t>TOTAL BALANCE</t>
  </si>
  <si>
    <t xml:space="preserve">LESS ENCUMBERED FUNDS </t>
  </si>
  <si>
    <t>ENDING FUND BALANCE</t>
  </si>
  <si>
    <t>TEMPORARY LOANS RECEIVABLE</t>
  </si>
  <si>
    <t>LOANS RECEIVABLE - BEGINNING</t>
  </si>
  <si>
    <t xml:space="preserve">    LOANS RECEIVABLE - ENDING</t>
  </si>
  <si>
    <t xml:space="preserve">      TRANFERS TO GENERAL FUND</t>
  </si>
  <si>
    <t xml:space="preserve">      TRANFERS TO VPSA</t>
  </si>
  <si>
    <t xml:space="preserve">      TRANFERS TO DOE (Teacher Retirement)</t>
  </si>
  <si>
    <t>INTEREST ON PERM LITERARY LOANS</t>
  </si>
  <si>
    <t>INTEREST ON TEMP LITERARY LOANS</t>
  </si>
  <si>
    <t xml:space="preserve">    RECEIPT OF LOAN PRINCIPAL PAYMENTS</t>
  </si>
  <si>
    <t>TAX EXEMPT LOANS</t>
  </si>
  <si>
    <t>TAXABLE LOANS</t>
  </si>
  <si>
    <t xml:space="preserve">    TOTAL PERMANENT LOANS RECEIVABLE</t>
  </si>
  <si>
    <t>loan check figure</t>
  </si>
  <si>
    <t>LOANS CONVERTED TO PERMANENT STATUS</t>
  </si>
  <si>
    <t>LOAN PRINCIPAL PAYDOWN</t>
  </si>
  <si>
    <t>PERMANENT LOANS RECEIVABLE</t>
  </si>
  <si>
    <t>VPSA</t>
  </si>
  <si>
    <t>Regulatory Board Application Fees</t>
  </si>
  <si>
    <t>Regulatory Board Monetary Penalty &amp; Late Fees</t>
  </si>
  <si>
    <t>Interest on Literary Fund</t>
  </si>
  <si>
    <t>Interest From Other Sources</t>
  </si>
  <si>
    <t>Fines, Fort, Courts Fees Costs Penalties</t>
  </si>
  <si>
    <t>Processing Fees</t>
  </si>
  <si>
    <t>Criminal History Fee</t>
  </si>
  <si>
    <t>Bad Check Fee</t>
  </si>
  <si>
    <t>Fines Imposed by Industrial Commission</t>
  </si>
  <si>
    <t>Fines Imposed by State Corporation Commission</t>
  </si>
  <si>
    <t>Court Technology Fee</t>
  </si>
  <si>
    <t>Civil Penalties/Charges-Environmental Pollution</t>
  </si>
  <si>
    <t>Pay to Circuit Court Clerks for Commission</t>
  </si>
  <si>
    <t>For Deficiency of Guarantee Dep Agric</t>
  </si>
  <si>
    <t>From Recipients of Commodity Distribution</t>
  </si>
  <si>
    <t>Civil Penalties for Licensure Violations</t>
  </si>
  <si>
    <t>Property Escheated by Appointed Escheater</t>
  </si>
  <si>
    <t>Other Revenue</t>
  </si>
  <si>
    <t>Proceeds From Unclaimed Property</t>
  </si>
  <si>
    <t>Proceeds From Unclaimed Lottery Prizes</t>
  </si>
  <si>
    <t>Miscellaneous Revenues</t>
  </si>
  <si>
    <t>Total</t>
  </si>
  <si>
    <t>Copy this data to CM</t>
  </si>
  <si>
    <t>column and Paste Values</t>
  </si>
  <si>
    <t>Copy this data from the .pdf file sent by DOA (some maniputlation will be necessary)</t>
  </si>
  <si>
    <t>Miscellaneous Licenses, Permits &amp; Fees</t>
  </si>
  <si>
    <t>Private Security Firm Regulatory Fees</t>
  </si>
  <si>
    <t>Interest on DelinquentTaxes</t>
  </si>
  <si>
    <t>Interest- Fines, Forteitures</t>
  </si>
  <si>
    <t>Fines and Forteited Recognizances 2:c21</t>
  </si>
  <si>
    <t>Forteited Property</t>
  </si>
  <si>
    <t>Ref-Expense &amp; Mise Disb Made Prior</t>
  </si>
  <si>
    <t>(Convert .pdf file to recognize text; copy each column separately)</t>
  </si>
  <si>
    <t>(Jun 2nd trf .pdf data)</t>
  </si>
  <si>
    <t>(Jun "true-up" .pdf data)</t>
  </si>
  <si>
    <t>MISCELLANEOUS REVENUE</t>
  </si>
  <si>
    <t>(October .pdf data)</t>
  </si>
  <si>
    <t xml:space="preserve">    DEFERRED REVENUE; FINES</t>
  </si>
  <si>
    <t>LESS DEFERRED REVENUE</t>
  </si>
  <si>
    <t>(a) Based on CARS preliminary close reports</t>
  </si>
  <si>
    <t xml:space="preserve">     JUNE </t>
  </si>
  <si>
    <t>Cardinal AGY (222) Payable</t>
  </si>
  <si>
    <t>Cardinal AGY (154) Payable</t>
  </si>
  <si>
    <t>Cash transfer in - Non GF BU 22200</t>
  </si>
  <si>
    <t>Cash Transfer In- Non GF BU 99900</t>
  </si>
  <si>
    <t>Cash Transfer Out- Treas TR BU 99900</t>
  </si>
  <si>
    <t>Proceeds From Sale of Surplus</t>
  </si>
  <si>
    <t>FISCAL YEAR 2018</t>
  </si>
  <si>
    <t xml:space="preserve">     JUNE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</si>
</sst>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164" formatCode=";;;"/>
    <numFmt numFmtId="165" formatCode="_(* #,##0_);[Red]_(* \(#,##0\);_(* &quot;-&quot;_);_(@_)"/>
    <numFmt numFmtId="166" formatCode="_(* #,##0.00_);[Red]_(* \(#,##0.00\);_(* &quot;-&quot;_);_(@_)"/>
  </numFmts>
  <fonts count="6" x14ac:knownFonts="1">
    <font>
      <sz val="12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2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37" fontId="0" fillId="0" borderId="0" xfId="0" applyNumberFormat="1" applyProtection="1"/>
    <xf numFmtId="39" fontId="2" fillId="0" borderId="0" xfId="0" applyNumberFormat="1" applyFont="1" applyAlignment="1" applyProtection="1">
      <alignment horizontal="left"/>
    </xf>
    <xf numFmtId="0" fontId="2" fillId="0" borderId="0" xfId="0" applyFont="1"/>
    <xf numFmtId="3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9" fontId="2" fillId="0" borderId="0" xfId="0" quotePrefix="1" applyNumberFormat="1" applyFont="1" applyAlignment="1" applyProtection="1">
      <alignment horizontal="center"/>
    </xf>
    <xf numFmtId="39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Protection="1"/>
    <xf numFmtId="0" fontId="2" fillId="0" borderId="0" xfId="0" applyFont="1" applyAlignment="1">
      <alignment horizontal="center"/>
    </xf>
    <xf numFmtId="3" fontId="2" fillId="0" borderId="0" xfId="0" applyNumberFormat="1" applyFont="1"/>
    <xf numFmtId="37" fontId="2" fillId="0" borderId="0" xfId="0" applyNumberFormat="1" applyFont="1"/>
    <xf numFmtId="37" fontId="0" fillId="0" borderId="0" xfId="0" applyNumberFormat="1"/>
    <xf numFmtId="37" fontId="2" fillId="0" borderId="0" xfId="0" applyNumberFormat="1" applyFont="1" applyFill="1" applyProtection="1"/>
    <xf numFmtId="5" fontId="2" fillId="0" borderId="0" xfId="0" applyNumberFormat="1" applyFont="1" applyFill="1" applyBorder="1" applyProtection="1"/>
    <xf numFmtId="42" fontId="2" fillId="0" borderId="0" xfId="0" applyNumberFormat="1" applyFont="1" applyFill="1" applyProtection="1"/>
    <xf numFmtId="42" fontId="2" fillId="0" borderId="2" xfId="0" applyNumberFormat="1" applyFont="1" applyFill="1" applyBorder="1" applyProtection="1"/>
    <xf numFmtId="42" fontId="2" fillId="0" borderId="1" xfId="0" applyNumberFormat="1" applyFont="1" applyFill="1" applyBorder="1" applyProtection="1"/>
    <xf numFmtId="42" fontId="2" fillId="0" borderId="0" xfId="0" applyNumberFormat="1" applyFont="1" applyFill="1" applyBorder="1" applyProtection="1"/>
    <xf numFmtId="0" fontId="0" fillId="0" borderId="0" xfId="0" applyFill="1"/>
    <xf numFmtId="0" fontId="2" fillId="0" borderId="0" xfId="0" applyFont="1" applyFill="1"/>
    <xf numFmtId="39" fontId="2" fillId="0" borderId="0" xfId="0" applyNumberFormat="1" applyFont="1" applyFill="1" applyAlignment="1" applyProtection="1">
      <alignment horizontal="center"/>
    </xf>
    <xf numFmtId="5" fontId="2" fillId="0" borderId="0" xfId="0" applyNumberFormat="1" applyFont="1" applyFill="1"/>
    <xf numFmtId="165" fontId="2" fillId="0" borderId="0" xfId="1" applyFont="1"/>
    <xf numFmtId="165" fontId="2" fillId="0" borderId="1" xfId="1" applyFont="1" applyFill="1" applyBorder="1" applyProtection="1"/>
    <xf numFmtId="165" fontId="2" fillId="0" borderId="0" xfId="1" applyFont="1" applyFill="1" applyProtection="1"/>
    <xf numFmtId="165" fontId="2" fillId="0" borderId="0" xfId="1" quotePrefix="1" applyFont="1" applyFill="1" applyAlignment="1" applyProtection="1">
      <alignment horizontal="right"/>
    </xf>
    <xf numFmtId="165" fontId="2" fillId="0" borderId="3" xfId="1" applyFont="1" applyFill="1" applyBorder="1" applyProtection="1"/>
    <xf numFmtId="165" fontId="2" fillId="0" borderId="1" xfId="1" quotePrefix="1" applyFont="1" applyFill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top"/>
    </xf>
    <xf numFmtId="0" fontId="2" fillId="0" borderId="0" xfId="0" applyFont="1" applyFill="1" applyProtection="1">
      <protection locked="0" hidden="1"/>
    </xf>
    <xf numFmtId="0" fontId="4" fillId="0" borderId="0" xfId="0" applyFont="1"/>
    <xf numFmtId="37" fontId="0" fillId="0" borderId="0" xfId="0" applyNumberFormat="1" applyFill="1" applyProtection="1"/>
    <xf numFmtId="37" fontId="2" fillId="0" borderId="0" xfId="0" applyNumberFormat="1" applyFont="1" applyFill="1"/>
    <xf numFmtId="42" fontId="4" fillId="0" borderId="0" xfId="0" applyNumberFormat="1" applyFont="1" applyFill="1" applyBorder="1" applyProtection="1"/>
    <xf numFmtId="0" fontId="5" fillId="0" borderId="0" xfId="0" applyFont="1"/>
    <xf numFmtId="165" fontId="2" fillId="0" borderId="0" xfId="0" applyNumberFormat="1" applyFont="1" applyFill="1" applyBorder="1" applyProtection="1"/>
    <xf numFmtId="165" fontId="2" fillId="0" borderId="0" xfId="1" quotePrefix="1" applyFont="1" applyFill="1" applyBorder="1" applyAlignment="1" applyProtection="1">
      <alignment horizontal="right"/>
    </xf>
    <xf numFmtId="5" fontId="2" fillId="0" borderId="2" xfId="0" applyNumberFormat="1" applyFont="1" applyFill="1" applyBorder="1" applyProtection="1"/>
    <xf numFmtId="166" fontId="2" fillId="0" borderId="0" xfId="1" applyNumberFormat="1" applyFont="1"/>
    <xf numFmtId="165" fontId="4" fillId="0" borderId="0" xfId="1" applyFont="1"/>
    <xf numFmtId="166" fontId="4" fillId="0" borderId="0" xfId="1" applyNumberFormat="1" applyFont="1"/>
    <xf numFmtId="37" fontId="2" fillId="0" borderId="0" xfId="0" quotePrefix="1" applyNumberFormat="1" applyFont="1" applyAlignment="1">
      <alignment horizontal="right"/>
    </xf>
    <xf numFmtId="165" fontId="0" fillId="0" borderId="0" xfId="1" applyFont="1"/>
    <xf numFmtId="165" fontId="5" fillId="0" borderId="0" xfId="1" applyFont="1"/>
    <xf numFmtId="165" fontId="2" fillId="0" borderId="0" xfId="0" applyNumberFormat="1" applyFont="1"/>
    <xf numFmtId="164" fontId="2" fillId="0" borderId="0" xfId="0" applyNumberFormat="1" applyFont="1" applyFill="1" applyProtection="1">
      <protection hidden="1"/>
    </xf>
    <xf numFmtId="37" fontId="2" fillId="0" borderId="1" xfId="0" applyNumberFormat="1" applyFont="1" applyFill="1" applyBorder="1" applyProtection="1"/>
    <xf numFmtId="166" fontId="2" fillId="2" borderId="0" xfId="1" applyNumberFormat="1" applyFont="1" applyFill="1" applyProtection="1"/>
    <xf numFmtId="39" fontId="2" fillId="2" borderId="0" xfId="0" applyNumberFormat="1" applyFont="1" applyFill="1" applyAlignment="1" applyProtection="1">
      <alignment horizontal="left"/>
    </xf>
    <xf numFmtId="42" fontId="2" fillId="0" borderId="0" xfId="0" applyNumberFormat="1" applyFont="1" applyFill="1" applyProtection="1">
      <protection locked="0" hidden="1"/>
    </xf>
    <xf numFmtId="1" fontId="2" fillId="0" borderId="0" xfId="0" applyNumberFormat="1" applyFont="1" applyFill="1"/>
    <xf numFmtId="1" fontId="2" fillId="0" borderId="0" xfId="0" applyNumberFormat="1" applyFont="1"/>
    <xf numFmtId="39" fontId="2" fillId="0" borderId="0" xfId="0" quotePrefix="1" applyNumberFormat="1" applyFont="1" applyFill="1" applyAlignment="1" applyProtection="1">
      <alignment horizontal="left"/>
    </xf>
    <xf numFmtId="165" fontId="2" fillId="0" borderId="0" xfId="1" applyFont="1" applyFill="1"/>
    <xf numFmtId="166" fontId="2" fillId="0" borderId="0" xfId="1" applyNumberFormat="1" applyFont="1" applyFill="1"/>
    <xf numFmtId="165" fontId="0" fillId="0" borderId="0" xfId="1" applyFont="1" applyFill="1"/>
    <xf numFmtId="165" fontId="0" fillId="0" borderId="0" xfId="0" applyNumberFormat="1" applyFill="1"/>
    <xf numFmtId="39" fontId="2" fillId="0" borderId="0" xfId="0" applyNumberFormat="1" applyFont="1" applyFill="1" applyAlignment="1" applyProtection="1">
      <alignment horizontal="left"/>
    </xf>
    <xf numFmtId="5" fontId="0" fillId="0" borderId="0" xfId="0" applyNumberFormat="1" applyFill="1"/>
    <xf numFmtId="5" fontId="2" fillId="0" borderId="0" xfId="0" quotePrefix="1" applyNumberFormat="1" applyFont="1" applyFill="1" applyAlignment="1" applyProtection="1">
      <alignment horizontal="left"/>
    </xf>
    <xf numFmtId="165" fontId="2" fillId="0" borderId="0" xfId="1" quotePrefix="1" applyFont="1" applyFill="1" applyAlignment="1">
      <alignment horizontal="left"/>
    </xf>
    <xf numFmtId="165" fontId="0" fillId="0" borderId="0" xfId="1" quotePrefix="1" applyFont="1" applyFill="1" applyAlignment="1">
      <alignment horizontal="left"/>
    </xf>
    <xf numFmtId="39" fontId="3" fillId="0" borderId="0" xfId="0" quotePrefix="1" applyNumberFormat="1" applyFont="1" applyFill="1" applyBorder="1" applyAlignment="1" applyProtection="1">
      <alignment horizontal="left"/>
    </xf>
    <xf numFmtId="39" fontId="3" fillId="0" borderId="0" xfId="0" quotePrefix="1" applyNumberFormat="1" applyFont="1" applyFill="1" applyAlignment="1" applyProtection="1">
      <alignment horizontal="left"/>
    </xf>
    <xf numFmtId="37" fontId="0" fillId="0" borderId="0" xfId="0" applyNumberFormat="1" applyFill="1"/>
    <xf numFmtId="37" fontId="2" fillId="0" borderId="0" xfId="0" applyNumberFormat="1" applyFont="1" applyFill="1" applyAlignment="1" applyProtection="1">
      <alignment horizontal="left"/>
    </xf>
    <xf numFmtId="3" fontId="2" fillId="0" borderId="0" xfId="0" applyNumberFormat="1" applyFont="1" applyFill="1"/>
    <xf numFmtId="165" fontId="2" fillId="0" borderId="0" xfId="1" applyFont="1" applyFill="1" applyBorder="1" applyProtection="1"/>
    <xf numFmtId="165" fontId="0" fillId="0" borderId="1" xfId="1" applyFont="1" applyFill="1" applyBorder="1"/>
    <xf numFmtId="165" fontId="0" fillId="3" borderId="0" xfId="1" applyFont="1" applyFill="1"/>
    <xf numFmtId="165" fontId="5" fillId="3" borderId="0" xfId="1" applyFont="1" applyFill="1"/>
    <xf numFmtId="165" fontId="2" fillId="3" borderId="0" xfId="1" applyFont="1" applyFill="1"/>
    <xf numFmtId="165" fontId="2" fillId="0" borderId="0" xfId="1" applyFont="1" applyFill="1" applyAlignment="1" applyProtection="1">
      <alignment horizontal="right"/>
    </xf>
    <xf numFmtId="39" fontId="2" fillId="0" borderId="0" xfId="0" quotePrefix="1" applyNumberFormat="1" applyFont="1" applyFill="1" applyBorder="1" applyAlignment="1" applyProtection="1">
      <alignment horizontal="left"/>
    </xf>
    <xf numFmtId="0" fontId="0" fillId="0" borderId="0" xfId="0" applyBorder="1"/>
    <xf numFmtId="0" fontId="2" fillId="0" borderId="0" xfId="0" quotePrefix="1" applyFont="1" applyAlignment="1">
      <alignment horizontal="left"/>
    </xf>
    <xf numFmtId="37" fontId="2" fillId="0" borderId="0" xfId="0" quotePrefix="1" applyNumberFormat="1" applyFont="1" applyFill="1" applyAlignment="1" applyProtection="1">
      <alignment horizontal="left"/>
    </xf>
    <xf numFmtId="164" fontId="2" fillId="0" borderId="0" xfId="0" applyNumberFormat="1" applyFont="1" applyFill="1" applyProtection="1">
      <protection locked="0" hidden="1"/>
    </xf>
    <xf numFmtId="164" fontId="2" fillId="0" borderId="0" xfId="0" applyNumberFormat="1" applyFont="1" applyFill="1" applyProtection="1">
      <protection locked="0"/>
    </xf>
    <xf numFmtId="165" fontId="2" fillId="0" borderId="0" xfId="1" applyFont="1" applyFill="1" applyProtection="1">
      <protection locked="0" hidden="1"/>
    </xf>
    <xf numFmtId="0" fontId="4" fillId="0" borderId="0" xfId="0" applyFont="1" applyFill="1"/>
    <xf numFmtId="0" fontId="3" fillId="0" borderId="0" xfId="0" applyFont="1" applyFill="1"/>
    <xf numFmtId="39" fontId="2" fillId="0" borderId="0" xfId="0" quotePrefix="1" applyNumberFormat="1" applyFont="1" applyFill="1" applyAlignment="1" applyProtection="1">
      <alignment horizontal="center"/>
    </xf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Border="1" applyProtection="1"/>
    <xf numFmtId="5" fontId="2" fillId="0" borderId="0" xfId="0" applyNumberFormat="1" applyFont="1" applyFill="1" applyBorder="1"/>
    <xf numFmtId="37" fontId="3" fillId="0" borderId="0" xfId="0" applyNumberFormat="1" applyFont="1" applyFill="1" applyAlignment="1" applyProtection="1">
      <alignment horizontal="right" vertical="top"/>
    </xf>
    <xf numFmtId="37" fontId="2" fillId="0" borderId="0" xfId="0" quotePrefix="1" applyNumberFormat="1" applyFont="1" applyFill="1" applyAlignment="1">
      <alignment horizontal="right"/>
    </xf>
    <xf numFmtId="166" fontId="2" fillId="0" borderId="2" xfId="1" applyNumberFormat="1" applyFont="1" applyFill="1" applyBorder="1"/>
    <xf numFmtId="165" fontId="0" fillId="0" borderId="2" xfId="1" applyFont="1" applyFill="1" applyBorder="1"/>
    <xf numFmtId="0" fontId="2" fillId="4" borderId="0" xfId="0" applyFont="1" applyFill="1"/>
    <xf numFmtId="166" fontId="2" fillId="0" borderId="0" xfId="1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75"/>
  <sheetViews>
    <sheetView showGridLines="0" tabSelected="1" zoomScale="120" zoomScaleNormal="12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8" sqref="C8"/>
    </sheetView>
  </sheetViews>
  <sheetFormatPr defaultColWidth="13.69921875" defaultRowHeight="15.6" x14ac:dyDescent="0.3"/>
  <cols>
    <col min="1" max="1" width="4.19921875" customWidth="1"/>
    <col min="2" max="2" width="33.19921875" bestFit="1" customWidth="1"/>
    <col min="3" max="3" width="11" style="19" customWidth="1"/>
    <col min="4" max="4" width="11.69921875" style="19" bestFit="1" customWidth="1"/>
    <col min="5" max="5" width="11.69921875" customWidth="1"/>
    <col min="6" max="6" width="12" style="19" customWidth="1"/>
    <col min="7" max="7" width="10.69921875" customWidth="1"/>
    <col min="8" max="8" width="11" customWidth="1"/>
    <col min="9" max="10" width="10.09765625" customWidth="1"/>
    <col min="11" max="12" width="11.19921875" customWidth="1"/>
    <col min="13" max="13" width="10.09765625" customWidth="1"/>
    <col min="14" max="14" width="12.69921875" style="19" customWidth="1"/>
    <col min="15" max="15" width="12" customWidth="1"/>
    <col min="16" max="16" width="13.69921875" customWidth="1"/>
    <col min="17" max="17" width="13.69921875" style="23"/>
    <col min="18" max="18" width="13.69921875" style="3"/>
    <col min="19" max="19" width="13.69921875" style="39"/>
    <col min="20" max="20" width="13.69921875" style="3"/>
    <col min="22" max="22" width="0" hidden="1" customWidth="1"/>
    <col min="23" max="23" width="13.69921875" style="43" hidden="1" customWidth="1"/>
    <col min="24" max="24" width="16" style="70" bestFit="1" customWidth="1"/>
    <col min="25" max="25" width="18.8984375" style="43" bestFit="1" customWidth="1"/>
    <col min="26" max="26" width="20.69921875" style="43" bestFit="1" customWidth="1"/>
  </cols>
  <sheetData>
    <row r="1" spans="1:27" x14ac:dyDescent="0.3">
      <c r="A1" s="3" t="s">
        <v>0</v>
      </c>
      <c r="B1" s="3"/>
      <c r="C1" s="30"/>
      <c r="D1" s="50"/>
      <c r="E1" s="50"/>
      <c r="F1" s="20"/>
      <c r="G1" s="20"/>
      <c r="H1" s="20"/>
      <c r="I1" s="20"/>
      <c r="J1" s="3"/>
      <c r="K1" s="3"/>
      <c r="M1" s="3"/>
      <c r="N1" s="20"/>
      <c r="O1" s="3"/>
    </row>
    <row r="2" spans="1:27" x14ac:dyDescent="0.3">
      <c r="A2" s="7" t="s">
        <v>107</v>
      </c>
      <c r="B2" s="3"/>
      <c r="C2" s="20"/>
      <c r="D2" s="51"/>
      <c r="E2" s="52"/>
      <c r="F2" s="20"/>
      <c r="G2" s="3"/>
      <c r="H2" s="3"/>
      <c r="I2" s="3"/>
      <c r="J2" s="45"/>
      <c r="K2" s="3"/>
      <c r="L2" s="3"/>
      <c r="M2" s="3"/>
      <c r="N2" s="20"/>
      <c r="O2" s="3"/>
    </row>
    <row r="3" spans="1:27" x14ac:dyDescent="0.3">
      <c r="A3" s="3"/>
      <c r="C3" s="21" t="s">
        <v>1</v>
      </c>
      <c r="D3" s="21" t="s">
        <v>2</v>
      </c>
      <c r="E3" s="6" t="s">
        <v>3</v>
      </c>
      <c r="F3" s="21" t="s">
        <v>4</v>
      </c>
      <c r="G3" s="9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6" t="s">
        <v>10</v>
      </c>
      <c r="M3" s="6" t="s">
        <v>11</v>
      </c>
      <c r="N3" s="83" t="s">
        <v>108</v>
      </c>
      <c r="O3" s="4" t="s">
        <v>12</v>
      </c>
    </row>
    <row r="4" spans="1:27" s="19" customFormat="1" x14ac:dyDescent="0.3">
      <c r="A4" s="58" t="s">
        <v>13</v>
      </c>
      <c r="B4" s="20"/>
      <c r="C4" s="13"/>
      <c r="D4" s="13"/>
      <c r="E4" s="13"/>
      <c r="F4" s="13"/>
      <c r="G4" s="20"/>
      <c r="H4" s="13"/>
      <c r="I4" s="13"/>
      <c r="J4" s="13"/>
      <c r="K4" s="13"/>
      <c r="L4" s="25"/>
      <c r="M4" s="25"/>
      <c r="N4" s="25"/>
      <c r="O4" s="13"/>
      <c r="Q4" s="54"/>
      <c r="R4" s="20"/>
      <c r="S4" s="55"/>
      <c r="T4" s="20"/>
      <c r="W4" s="56"/>
      <c r="X4" s="70"/>
      <c r="Y4" s="56"/>
      <c r="Z4" s="56"/>
    </row>
    <row r="5" spans="1:27" s="59" customFormat="1" x14ac:dyDescent="0.3">
      <c r="B5" s="60" t="s">
        <v>14</v>
      </c>
      <c r="C5" s="17">
        <v>71450042</v>
      </c>
      <c r="D5" s="17">
        <v>76454520</v>
      </c>
      <c r="E5" s="17">
        <v>86780167</v>
      </c>
      <c r="F5" s="17">
        <v>95099373</v>
      </c>
      <c r="G5" s="17">
        <v>98801356</v>
      </c>
      <c r="H5" s="17">
        <v>105707121</v>
      </c>
      <c r="I5" s="17">
        <v>114717074</v>
      </c>
      <c r="J5" s="17">
        <v>122272500</v>
      </c>
      <c r="K5" s="17">
        <v>201815464</v>
      </c>
      <c r="L5" s="17">
        <v>209401868</v>
      </c>
      <c r="M5" s="17">
        <v>150238050</v>
      </c>
      <c r="N5" s="17">
        <f>248312270</f>
        <v>248312270</v>
      </c>
      <c r="O5" s="17">
        <f>+C5</f>
        <v>71450042</v>
      </c>
      <c r="Q5" s="54"/>
      <c r="R5" s="22"/>
      <c r="S5" s="55"/>
      <c r="T5" s="22"/>
      <c r="W5" s="56"/>
      <c r="X5" s="70"/>
      <c r="Y5" s="56"/>
      <c r="Z5" s="56"/>
    </row>
    <row r="6" spans="1:27" s="19" customFormat="1" x14ac:dyDescent="0.3">
      <c r="B6" s="58" t="s">
        <v>15</v>
      </c>
      <c r="C6" s="24">
        <f>SUM(C5:C5)</f>
        <v>71450042</v>
      </c>
      <c r="D6" s="24">
        <f>SUM(D5:D5)</f>
        <v>76454520</v>
      </c>
      <c r="E6" s="24">
        <f>SUM(E5:E5)</f>
        <v>86780167</v>
      </c>
      <c r="F6" s="24">
        <f t="shared" ref="F6:N6" si="0">SUM(F5:F5)</f>
        <v>95099373</v>
      </c>
      <c r="G6" s="24">
        <f t="shared" si="0"/>
        <v>98801356</v>
      </c>
      <c r="H6" s="24">
        <f t="shared" si="0"/>
        <v>105707121</v>
      </c>
      <c r="I6" s="24">
        <f t="shared" si="0"/>
        <v>114717074</v>
      </c>
      <c r="J6" s="24">
        <f t="shared" si="0"/>
        <v>122272500</v>
      </c>
      <c r="K6" s="24">
        <f t="shared" si="0"/>
        <v>201815464</v>
      </c>
      <c r="L6" s="24">
        <f t="shared" si="0"/>
        <v>209401868</v>
      </c>
      <c r="M6" s="24">
        <f t="shared" si="0"/>
        <v>150238050</v>
      </c>
      <c r="N6" s="24">
        <f t="shared" si="0"/>
        <v>248312270</v>
      </c>
      <c r="O6" s="24">
        <f>SUM(O5:O5)</f>
        <v>71450042</v>
      </c>
      <c r="Q6" s="54"/>
      <c r="R6" s="20"/>
      <c r="S6" s="55" t="s">
        <v>84</v>
      </c>
      <c r="T6" s="20"/>
      <c r="W6" s="56"/>
      <c r="X6" s="70"/>
      <c r="Y6" s="56"/>
      <c r="Z6" s="56"/>
    </row>
    <row r="7" spans="1:27" s="19" customFormat="1" x14ac:dyDescent="0.3">
      <c r="A7" s="58" t="s">
        <v>16</v>
      </c>
      <c r="B7" s="20"/>
      <c r="C7" s="25"/>
      <c r="D7" s="25"/>
      <c r="E7" s="25"/>
      <c r="F7" s="25"/>
      <c r="G7" s="54"/>
      <c r="H7" s="25"/>
      <c r="I7" s="25"/>
      <c r="J7" s="25"/>
      <c r="K7" s="25"/>
      <c r="L7" s="25"/>
      <c r="M7" s="25"/>
      <c r="N7" s="25"/>
      <c r="O7" s="25"/>
      <c r="Q7" s="61" t="s">
        <v>82</v>
      </c>
      <c r="R7" s="20"/>
      <c r="S7" s="55" t="s">
        <v>92</v>
      </c>
      <c r="T7" s="20"/>
      <c r="W7" s="56"/>
      <c r="X7" s="70" t="s">
        <v>96</v>
      </c>
      <c r="Y7" s="62" t="s">
        <v>93</v>
      </c>
      <c r="Z7" s="62" t="s">
        <v>94</v>
      </c>
    </row>
    <row r="8" spans="1:27" s="19" customFormat="1" x14ac:dyDescent="0.3">
      <c r="A8" s="53" t="s">
        <v>17</v>
      </c>
      <c r="B8" s="20"/>
      <c r="C8" s="25"/>
      <c r="D8" s="25"/>
      <c r="E8" s="25"/>
      <c r="F8" s="25"/>
      <c r="G8" s="54"/>
      <c r="H8" s="25"/>
      <c r="I8" s="25"/>
      <c r="J8" s="25"/>
      <c r="K8" s="25"/>
      <c r="L8" s="25"/>
      <c r="M8" s="25"/>
      <c r="N8" s="25"/>
      <c r="O8" s="25"/>
      <c r="Q8" s="61" t="s">
        <v>83</v>
      </c>
      <c r="R8" s="20"/>
      <c r="S8" s="55"/>
      <c r="T8" s="20"/>
      <c r="W8" s="56"/>
      <c r="X8" s="70"/>
      <c r="Y8" s="56"/>
      <c r="Z8" s="56"/>
    </row>
    <row r="9" spans="1:27" s="19" customFormat="1" x14ac:dyDescent="0.3">
      <c r="B9" s="53" t="s">
        <v>50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>
        <f t="shared" ref="O9:O14" si="1">SUM(C9:N9)</f>
        <v>0</v>
      </c>
      <c r="Q9" s="54"/>
      <c r="R9" s="20">
        <v>4002199</v>
      </c>
      <c r="S9" s="55">
        <f>+X9</f>
        <v>0</v>
      </c>
      <c r="T9" s="20" t="s">
        <v>85</v>
      </c>
      <c r="W9" s="56"/>
      <c r="X9" s="70"/>
      <c r="Y9" s="56"/>
      <c r="Z9" s="56"/>
      <c r="AA9" s="57"/>
    </row>
    <row r="10" spans="1:27" s="19" customFormat="1" x14ac:dyDescent="0.3">
      <c r="B10" s="53" t="s">
        <v>49</v>
      </c>
      <c r="C10" s="25">
        <f>377639+270000</f>
        <v>647639</v>
      </c>
      <c r="D10" s="25">
        <f>355817+17958</f>
        <v>373775</v>
      </c>
      <c r="E10" s="25">
        <v>160658</v>
      </c>
      <c r="F10" s="25">
        <v>128859</v>
      </c>
      <c r="G10" s="25">
        <f>52352+1+15000</f>
        <v>67353</v>
      </c>
      <c r="H10" s="25">
        <v>416825</v>
      </c>
      <c r="I10" s="25">
        <f>161435+56250+37500+37500</f>
        <v>292685</v>
      </c>
      <c r="J10" s="25">
        <v>312537</v>
      </c>
      <c r="K10" s="25">
        <f>281741+37500</f>
        <v>319241</v>
      </c>
      <c r="L10" s="25">
        <v>153805</v>
      </c>
      <c r="M10" s="25">
        <v>3856</v>
      </c>
      <c r="N10" s="25">
        <v>33239</v>
      </c>
      <c r="O10" s="25">
        <f>SUM(C10:N10)</f>
        <v>2910472</v>
      </c>
      <c r="Q10" s="54"/>
      <c r="R10" s="20">
        <v>4002041</v>
      </c>
      <c r="S10" s="55">
        <f t="shared" ref="S10:S35" si="2">+X10</f>
        <v>0</v>
      </c>
      <c r="T10" s="20" t="s">
        <v>60</v>
      </c>
      <c r="W10" s="56"/>
      <c r="X10" s="70"/>
      <c r="Y10" s="56"/>
      <c r="Z10" s="56"/>
      <c r="AA10" s="57"/>
    </row>
    <row r="11" spans="1:27" s="19" customFormat="1" ht="15" customHeight="1" x14ac:dyDescent="0.3">
      <c r="B11" s="53" t="s">
        <v>18</v>
      </c>
      <c r="C11" s="25"/>
      <c r="D11" s="25"/>
      <c r="E11" s="25"/>
      <c r="F11" s="25">
        <v>257837</v>
      </c>
      <c r="G11" s="25"/>
      <c r="I11" s="25">
        <v>345010</v>
      </c>
      <c r="J11" s="25"/>
      <c r="K11" s="25"/>
      <c r="L11" s="25">
        <v>446285</v>
      </c>
      <c r="M11" s="25"/>
      <c r="N11" s="25">
        <v>679654</v>
      </c>
      <c r="O11" s="25">
        <f>SUM(C11:N11)</f>
        <v>1728786</v>
      </c>
      <c r="Q11" s="54"/>
      <c r="R11" s="20">
        <v>4002410</v>
      </c>
      <c r="S11" s="55">
        <f t="shared" si="2"/>
        <v>0</v>
      </c>
      <c r="T11" s="20" t="s">
        <v>86</v>
      </c>
      <c r="W11" s="56"/>
      <c r="X11" s="70"/>
      <c r="Y11" s="56"/>
      <c r="Z11" s="56"/>
      <c r="AA11" s="57"/>
    </row>
    <row r="12" spans="1:27" s="19" customFormat="1" ht="15.75" customHeight="1" x14ac:dyDescent="0.3">
      <c r="B12" s="58" t="s">
        <v>95</v>
      </c>
      <c r="C12" s="25"/>
      <c r="D12" s="25"/>
      <c r="E12" s="25"/>
      <c r="F12" s="25"/>
      <c r="G12" s="25"/>
      <c r="I12" s="25"/>
      <c r="J12" s="25"/>
      <c r="K12" s="25"/>
      <c r="L12" s="25"/>
      <c r="M12" s="25"/>
      <c r="N12" s="25"/>
      <c r="O12" s="25">
        <f t="shared" si="1"/>
        <v>0</v>
      </c>
      <c r="Q12" s="54"/>
      <c r="R12" s="20">
        <v>4002421</v>
      </c>
      <c r="S12" s="55">
        <f>+X12</f>
        <v>108783.35</v>
      </c>
      <c r="T12" s="20" t="s">
        <v>61</v>
      </c>
      <c r="W12" s="56"/>
      <c r="X12" s="70">
        <f>48891.66+59891.69</f>
        <v>108783.35</v>
      </c>
      <c r="Y12" s="56"/>
      <c r="Z12" s="56"/>
      <c r="AA12" s="57"/>
    </row>
    <row r="13" spans="1:27" s="19" customFormat="1" x14ac:dyDescent="0.3">
      <c r="B13" s="53" t="s">
        <v>19</v>
      </c>
      <c r="C13" s="25"/>
      <c r="D13" s="25"/>
      <c r="E13" s="25"/>
      <c r="F13" s="25">
        <v>-24416</v>
      </c>
      <c r="G13" s="25"/>
      <c r="I13" s="25">
        <v>-31134</v>
      </c>
      <c r="J13" s="25"/>
      <c r="K13" s="25"/>
      <c r="L13" s="25">
        <v>-42622</v>
      </c>
      <c r="M13" s="25"/>
      <c r="N13" s="25">
        <v>-46073</v>
      </c>
      <c r="O13" s="25">
        <f>SUM(C13:N13)</f>
        <v>-144245</v>
      </c>
      <c r="Q13" s="54"/>
      <c r="R13" s="20">
        <v>4007102</v>
      </c>
      <c r="S13" s="55">
        <f t="shared" si="2"/>
        <v>0</v>
      </c>
      <c r="T13" s="20" t="s">
        <v>87</v>
      </c>
      <c r="W13" s="56"/>
      <c r="X13" s="70"/>
      <c r="Y13" s="56"/>
      <c r="Z13" s="56"/>
      <c r="AA13" s="57"/>
    </row>
    <row r="14" spans="1:27" s="19" customFormat="1" x14ac:dyDescent="0.3">
      <c r="B14" s="53" t="s">
        <v>20</v>
      </c>
      <c r="C14" s="25"/>
      <c r="D14" s="25"/>
      <c r="E14" s="25"/>
      <c r="F14" s="25">
        <v>210710</v>
      </c>
      <c r="G14" s="25"/>
      <c r="I14" s="25">
        <v>494819</v>
      </c>
      <c r="J14" s="25"/>
      <c r="K14" s="25"/>
      <c r="L14" s="25">
        <v>436272</v>
      </c>
      <c r="M14" s="25"/>
      <c r="N14" s="25">
        <v>293043</v>
      </c>
      <c r="O14" s="25">
        <f t="shared" si="1"/>
        <v>1434844</v>
      </c>
      <c r="Q14" s="54"/>
      <c r="R14" s="20">
        <v>4007103</v>
      </c>
      <c r="S14" s="55">
        <f t="shared" si="2"/>
        <v>0</v>
      </c>
      <c r="T14" s="20" t="s">
        <v>62</v>
      </c>
      <c r="W14" s="56"/>
      <c r="X14" s="70"/>
      <c r="Y14" s="56"/>
      <c r="Z14" s="56"/>
      <c r="AA14" s="57"/>
    </row>
    <row r="15" spans="1:27" s="19" customFormat="1" x14ac:dyDescent="0.3">
      <c r="B15" s="53" t="s">
        <v>21</v>
      </c>
      <c r="C15" s="25">
        <v>6332</v>
      </c>
      <c r="D15" s="25">
        <v>58309</v>
      </c>
      <c r="E15" s="25">
        <f>20586+25937</f>
        <v>46523</v>
      </c>
      <c r="F15" s="25">
        <v>24392</v>
      </c>
      <c r="G15" s="25">
        <v>56512</v>
      </c>
      <c r="H15" s="25">
        <v>22128</v>
      </c>
      <c r="I15" s="25">
        <v>20773</v>
      </c>
      <c r="J15" s="25">
        <v>35441</v>
      </c>
      <c r="K15" s="25">
        <v>11506</v>
      </c>
      <c r="L15" s="25">
        <f>972+4200</f>
        <v>5172</v>
      </c>
      <c r="M15" s="25">
        <v>28926</v>
      </c>
      <c r="N15" s="25">
        <v>1852</v>
      </c>
      <c r="O15" s="25">
        <f t="shared" ref="O15:O25" si="3">SUM(C15:N15)</f>
        <v>317866</v>
      </c>
      <c r="Q15" s="54"/>
      <c r="R15" s="20">
        <v>4007108</v>
      </c>
      <c r="S15" s="55">
        <f t="shared" si="2"/>
        <v>0</v>
      </c>
      <c r="T15" s="20" t="s">
        <v>63</v>
      </c>
      <c r="W15" s="56"/>
      <c r="X15" s="70"/>
      <c r="Y15" s="56"/>
      <c r="Z15" s="56"/>
      <c r="AA15" s="57"/>
    </row>
    <row r="16" spans="1:27" s="19" customFormat="1" x14ac:dyDescent="0.3">
      <c r="A16" s="74" t="s">
        <v>97</v>
      </c>
      <c r="B16" s="53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3"/>
        <v>0</v>
      </c>
      <c r="Q16" s="54"/>
      <c r="R16" s="20">
        <v>4007109</v>
      </c>
      <c r="S16" s="55">
        <f>+X16</f>
        <v>1296411.4900000002</v>
      </c>
      <c r="T16" s="20" t="s">
        <v>88</v>
      </c>
      <c r="W16" s="56"/>
      <c r="X16" s="56">
        <f>685691.06+610720.43</f>
        <v>1296411.4900000002</v>
      </c>
      <c r="Y16" s="56"/>
      <c r="Z16" s="56"/>
      <c r="AA16" s="57"/>
    </row>
    <row r="17" spans="1:27" s="19" customFormat="1" x14ac:dyDescent="0.3">
      <c r="A17" s="63" t="s">
        <v>51</v>
      </c>
      <c r="B17" s="64"/>
      <c r="C17" s="25">
        <f>3600507+750000</f>
        <v>4350507</v>
      </c>
      <c r="D17" s="25">
        <f>2692102+199537</f>
        <v>2891639</v>
      </c>
      <c r="E17" s="25">
        <v>1521438</v>
      </c>
      <c r="F17" s="25">
        <v>1195829</v>
      </c>
      <c r="G17" s="25">
        <f>632689+250000</f>
        <v>882689</v>
      </c>
      <c r="H17" s="25">
        <v>2505584</v>
      </c>
      <c r="I17" s="25">
        <f>656445+375000+375000+375000</f>
        <v>1781445</v>
      </c>
      <c r="J17" s="25">
        <v>1195699</v>
      </c>
      <c r="K17" s="25">
        <f>1052383+250000</f>
        <v>1302383</v>
      </c>
      <c r="L17" s="25">
        <v>1236426</v>
      </c>
      <c r="M17" s="25">
        <v>77654</v>
      </c>
      <c r="N17" s="25">
        <f>495581</f>
        <v>495581</v>
      </c>
      <c r="O17" s="25">
        <f t="shared" si="3"/>
        <v>19436874</v>
      </c>
      <c r="Q17" s="54"/>
      <c r="R17" s="20">
        <v>4008000</v>
      </c>
      <c r="S17" s="55">
        <f>+X17</f>
        <v>9000</v>
      </c>
      <c r="T17" s="20" t="s">
        <v>64</v>
      </c>
      <c r="W17" s="56"/>
      <c r="X17" s="70">
        <f>4650+4350</f>
        <v>9000</v>
      </c>
      <c r="Y17" s="56"/>
      <c r="Z17" s="56"/>
      <c r="AA17" s="57"/>
    </row>
    <row r="18" spans="1:27" s="19" customFormat="1" x14ac:dyDescent="0.3">
      <c r="A18" s="53" t="s">
        <v>22</v>
      </c>
      <c r="B18" s="20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f t="shared" si="3"/>
        <v>0</v>
      </c>
      <c r="Q18" s="54"/>
      <c r="R18" s="20">
        <v>4008110</v>
      </c>
      <c r="S18" s="55">
        <f>+X18</f>
        <v>7952681.6799999997</v>
      </c>
      <c r="T18" s="20" t="s">
        <v>89</v>
      </c>
      <c r="W18" s="56"/>
      <c r="X18" s="70">
        <f>3964689.6+3987992.08</f>
        <v>7952681.6799999997</v>
      </c>
      <c r="Y18" s="56"/>
      <c r="Z18" s="56"/>
      <c r="AA18" s="57"/>
    </row>
    <row r="19" spans="1:27" s="19" customFormat="1" x14ac:dyDescent="0.3">
      <c r="A19" s="53" t="s">
        <v>23</v>
      </c>
      <c r="B19" s="20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f t="shared" si="3"/>
        <v>0</v>
      </c>
      <c r="Q19" s="54"/>
      <c r="R19" s="20">
        <v>4008111</v>
      </c>
      <c r="S19" s="55">
        <f>+X19</f>
        <v>8</v>
      </c>
      <c r="T19" s="20" t="s">
        <v>90</v>
      </c>
      <c r="W19" s="56"/>
      <c r="X19" s="70">
        <v>8</v>
      </c>
      <c r="Y19" s="56"/>
      <c r="Z19" s="56"/>
      <c r="AA19" s="57"/>
    </row>
    <row r="20" spans="1:27" s="19" customFormat="1" x14ac:dyDescent="0.3">
      <c r="B20" s="53" t="s">
        <v>24</v>
      </c>
      <c r="C20" s="25"/>
      <c r="D20" s="25"/>
      <c r="E20" s="25"/>
      <c r="F20" s="25"/>
      <c r="G20" s="25"/>
      <c r="H20" s="25"/>
      <c r="I20" s="25"/>
      <c r="J20" s="25">
        <v>73000000</v>
      </c>
      <c r="K20" s="25"/>
      <c r="L20" s="25"/>
      <c r="M20" s="25">
        <v>92000000</v>
      </c>
      <c r="N20" s="25"/>
      <c r="O20" s="25">
        <f t="shared" si="3"/>
        <v>165000000</v>
      </c>
      <c r="Q20" s="54"/>
      <c r="R20" s="20">
        <v>4008112</v>
      </c>
      <c r="S20" s="55">
        <f t="shared" si="2"/>
        <v>0</v>
      </c>
      <c r="T20" s="20" t="s">
        <v>65</v>
      </c>
      <c r="W20" s="56"/>
      <c r="X20" s="70"/>
      <c r="Y20" s="56"/>
      <c r="Z20" s="56"/>
      <c r="AA20" s="57"/>
    </row>
    <row r="21" spans="1:27" s="19" customFormat="1" x14ac:dyDescent="0.3">
      <c r="B21" s="53" t="s">
        <v>25</v>
      </c>
      <c r="C21" s="25"/>
      <c r="D21" s="25">
        <v>575955</v>
      </c>
      <c r="E21" s="25">
        <v>553531</v>
      </c>
      <c r="F21" s="25">
        <f>481864+17811</f>
        <v>499675</v>
      </c>
      <c r="G21" s="25">
        <v>543382</v>
      </c>
      <c r="H21" s="25">
        <v>495376</v>
      </c>
      <c r="I21" s="25">
        <f>460591+11203</f>
        <v>471794</v>
      </c>
      <c r="J21" s="25">
        <v>587148</v>
      </c>
      <c r="K21" s="25">
        <v>763685</v>
      </c>
      <c r="L21" s="25">
        <f>764355+9233+1</f>
        <v>773589</v>
      </c>
      <c r="M21" s="25">
        <v>784551</v>
      </c>
      <c r="N21" s="25">
        <f>685691+610720+127012</f>
        <v>1423423</v>
      </c>
      <c r="O21" s="25">
        <f t="shared" si="3"/>
        <v>7472109</v>
      </c>
      <c r="Q21" s="72">
        <f>ROUND(SUMIF($R$9:$R$42,4007109,$S$9:$S$42),0)</f>
        <v>1296411</v>
      </c>
      <c r="R21" s="20">
        <v>4008116</v>
      </c>
      <c r="S21" s="55">
        <f>+X21</f>
        <v>1.5</v>
      </c>
      <c r="T21" s="20" t="s">
        <v>66</v>
      </c>
      <c r="W21" s="56"/>
      <c r="X21" s="70">
        <v>1.5</v>
      </c>
      <c r="Y21" s="56"/>
      <c r="Z21" s="56"/>
      <c r="AA21" s="57"/>
    </row>
    <row r="22" spans="1:27" s="19" customFormat="1" x14ac:dyDescent="0.3">
      <c r="B22" s="58" t="s">
        <v>59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3"/>
        <v>0</v>
      </c>
      <c r="Q22" s="54"/>
      <c r="R22" s="20">
        <v>4008135</v>
      </c>
      <c r="S22" s="55">
        <f t="shared" si="2"/>
        <v>0</v>
      </c>
      <c r="T22" s="20" t="s">
        <v>67</v>
      </c>
      <c r="W22" s="56"/>
      <c r="X22" s="70"/>
      <c r="Y22" s="56"/>
      <c r="Z22" s="56"/>
      <c r="AA22" s="57"/>
    </row>
    <row r="23" spans="1:27" s="19" customFormat="1" x14ac:dyDescent="0.3">
      <c r="B23" s="53" t="s">
        <v>26</v>
      </c>
      <c r="C23" s="25"/>
      <c r="D23" s="25"/>
      <c r="E23" s="25"/>
      <c r="F23" s="25"/>
      <c r="G23" s="25"/>
      <c r="H23" s="25"/>
      <c r="I23" s="25"/>
      <c r="J23" s="25"/>
      <c r="K23" s="25">
        <f>-300+300</f>
        <v>0</v>
      </c>
      <c r="L23" s="25">
        <v>-300</v>
      </c>
      <c r="M23" s="25"/>
      <c r="N23" s="25">
        <v>-100</v>
      </c>
      <c r="O23" s="25">
        <f t="shared" si="3"/>
        <v>-400</v>
      </c>
      <c r="Q23" s="54">
        <f>ROUND(SUMIF($R$9:$R$42,4008402,$S$9:$S$42),0)</f>
        <v>-100</v>
      </c>
      <c r="R23" s="20">
        <v>4008142</v>
      </c>
      <c r="S23" s="55">
        <f t="shared" si="2"/>
        <v>0</v>
      </c>
      <c r="T23" s="20" t="s">
        <v>68</v>
      </c>
      <c r="W23" s="56"/>
      <c r="X23" s="70"/>
      <c r="Y23" s="56"/>
      <c r="Z23" s="56"/>
      <c r="AA23" s="57"/>
    </row>
    <row r="24" spans="1:27" s="19" customFormat="1" x14ac:dyDescent="0.3">
      <c r="B24" s="53" t="s">
        <v>27</v>
      </c>
      <c r="C24" s="25">
        <v>0</v>
      </c>
      <c r="D24" s="25">
        <v>1852359</v>
      </c>
      <c r="E24" s="25">
        <v>1518235</v>
      </c>
      <c r="F24" s="25">
        <v>791558</v>
      </c>
      <c r="G24" s="25">
        <v>802144</v>
      </c>
      <c r="H24" s="25">
        <v>1616894</v>
      </c>
      <c r="I24" s="25">
        <v>801841</v>
      </c>
      <c r="J24" s="25">
        <v>789562</v>
      </c>
      <c r="K24" s="25">
        <v>822962</v>
      </c>
      <c r="L24" s="25">
        <v>828621</v>
      </c>
      <c r="M24" s="25">
        <v>762140</v>
      </c>
      <c r="N24" s="25">
        <f>655127+2889095</f>
        <v>3544222</v>
      </c>
      <c r="O24" s="25">
        <f t="shared" si="3"/>
        <v>14130538</v>
      </c>
      <c r="Q24" s="72">
        <f>ROUND(SUMIF($R$9:$R$42,4009007,$S$9:$S$42),0)</f>
        <v>3544222</v>
      </c>
      <c r="R24" s="20">
        <v>4008144</v>
      </c>
      <c r="S24" s="55">
        <f>+X24</f>
        <v>247778</v>
      </c>
      <c r="T24" s="20" t="s">
        <v>69</v>
      </c>
      <c r="W24" s="56"/>
      <c r="X24" s="70">
        <f>23616+224162</f>
        <v>247778</v>
      </c>
      <c r="Y24" s="56"/>
      <c r="Z24" s="56"/>
      <c r="AA24" s="57"/>
    </row>
    <row r="25" spans="1:27" s="19" customFormat="1" x14ac:dyDescent="0.3">
      <c r="B25" s="53" t="s">
        <v>28</v>
      </c>
      <c r="C25" s="25">
        <v>0</v>
      </c>
      <c r="D25" s="25">
        <v>4573610</v>
      </c>
      <c r="E25" s="25">
        <v>4518821</v>
      </c>
      <c r="F25" s="25">
        <v>4091877</v>
      </c>
      <c r="G25" s="25">
        <v>4553685</v>
      </c>
      <c r="H25" s="25">
        <v>3953146</v>
      </c>
      <c r="I25" s="25">
        <v>3378193</v>
      </c>
      <c r="J25" s="25">
        <v>4270741</v>
      </c>
      <c r="K25" s="25">
        <v>4366627</v>
      </c>
      <c r="L25" s="25">
        <v>5401559</v>
      </c>
      <c r="M25" s="25">
        <v>4417093</v>
      </c>
      <c r="N25" s="25">
        <f>4010401+4257914</f>
        <v>8268315</v>
      </c>
      <c r="O25" s="25">
        <f t="shared" si="3"/>
        <v>51793667</v>
      </c>
      <c r="Q25" s="72">
        <f>ROUND(SUMIF($R$9:$R$43,"Total",$S$9:$S$43),0)-SUM(Q10:Q24)+X38+X39+X41+X42+X40</f>
        <v>8268315</v>
      </c>
      <c r="R25" s="20">
        <v>4008170</v>
      </c>
      <c r="S25" s="55">
        <f t="shared" si="2"/>
        <v>0</v>
      </c>
      <c r="T25" s="20" t="s">
        <v>70</v>
      </c>
      <c r="W25" s="56"/>
      <c r="X25" s="70"/>
      <c r="Y25" s="56"/>
      <c r="Z25" s="56"/>
      <c r="AA25" s="57"/>
    </row>
    <row r="26" spans="1:27" s="19" customFormat="1" x14ac:dyDescent="0.3">
      <c r="B26" s="53" t="s">
        <v>29</v>
      </c>
      <c r="C26" s="24"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>
        <f t="shared" ref="O26" si="4">SUM(C26:N26)</f>
        <v>0</v>
      </c>
      <c r="Q26" s="54"/>
      <c r="R26" s="20">
        <v>4008182</v>
      </c>
      <c r="S26" s="55">
        <f t="shared" si="2"/>
        <v>0</v>
      </c>
      <c r="T26" s="20" t="s">
        <v>71</v>
      </c>
      <c r="W26" s="56"/>
      <c r="X26" s="70"/>
      <c r="Y26" s="56"/>
      <c r="Z26" s="56"/>
      <c r="AA26" s="57"/>
    </row>
    <row r="27" spans="1:27" s="65" customFormat="1" x14ac:dyDescent="0.3">
      <c r="A27" s="19"/>
      <c r="B27" s="58" t="s">
        <v>30</v>
      </c>
      <c r="C27" s="24">
        <f>SUM(C20:C26)</f>
        <v>0</v>
      </c>
      <c r="D27" s="24">
        <f>SUM(D20:D26)</f>
        <v>7001924</v>
      </c>
      <c r="E27" s="24">
        <f>SUM(E20:E26)</f>
        <v>6590587</v>
      </c>
      <c r="F27" s="24">
        <f>SUM(F20:F26)</f>
        <v>5383110</v>
      </c>
      <c r="G27" s="24">
        <f>SUM(G20:G26)</f>
        <v>5899211</v>
      </c>
      <c r="H27" s="24">
        <f t="shared" ref="H27:N27" si="5">SUM(H20:H26)</f>
        <v>6065416</v>
      </c>
      <c r="I27" s="24">
        <f t="shared" si="5"/>
        <v>4651828</v>
      </c>
      <c r="J27" s="24">
        <f>SUM(J20:J26)</f>
        <v>78647451</v>
      </c>
      <c r="K27" s="24">
        <f>SUM(K20:K26)</f>
        <v>5953274</v>
      </c>
      <c r="L27" s="24">
        <f>SUM(L20:L26)</f>
        <v>7003469</v>
      </c>
      <c r="M27" s="24">
        <f>SUM(M20:M26)</f>
        <v>97963784</v>
      </c>
      <c r="N27" s="24">
        <f t="shared" si="5"/>
        <v>13235860</v>
      </c>
      <c r="O27" s="24">
        <f>SUM(O20:O26)</f>
        <v>238395914</v>
      </c>
      <c r="P27" s="19"/>
      <c r="Q27" s="54">
        <f>SUM(Q10:Q26)</f>
        <v>13108848</v>
      </c>
      <c r="R27" s="20">
        <v>4008199</v>
      </c>
      <c r="S27" s="55">
        <f>+X27</f>
        <v>-39937.910000000003</v>
      </c>
      <c r="T27" s="33" t="s">
        <v>72</v>
      </c>
      <c r="W27" s="56"/>
      <c r="X27" s="70">
        <f>-21456.1-18481.81</f>
        <v>-39937.910000000003</v>
      </c>
      <c r="Y27" s="56"/>
      <c r="Z27" s="56"/>
      <c r="AA27" s="57"/>
    </row>
    <row r="28" spans="1:27" s="19" customFormat="1" x14ac:dyDescent="0.3">
      <c r="A28" s="65"/>
      <c r="B28" s="66" t="s">
        <v>31</v>
      </c>
      <c r="C28" s="24">
        <f t="shared" ref="C28:I28" si="6">SUM(C9:C26)</f>
        <v>5004478</v>
      </c>
      <c r="D28" s="24">
        <f t="shared" si="6"/>
        <v>10325647</v>
      </c>
      <c r="E28" s="24">
        <f t="shared" si="6"/>
        <v>8319206</v>
      </c>
      <c r="F28" s="24">
        <f t="shared" si="6"/>
        <v>7176321</v>
      </c>
      <c r="G28" s="24">
        <f t="shared" si="6"/>
        <v>6905765</v>
      </c>
      <c r="H28" s="24">
        <f t="shared" si="6"/>
        <v>9009953</v>
      </c>
      <c r="I28" s="24">
        <f t="shared" si="6"/>
        <v>7555426</v>
      </c>
      <c r="J28" s="24">
        <f>SUM(J9:J25)</f>
        <v>80191128</v>
      </c>
      <c r="K28" s="24">
        <f>SUM(K9:K26)</f>
        <v>7586404</v>
      </c>
      <c r="L28" s="24">
        <f>SUM(L9:L26)</f>
        <v>9238807</v>
      </c>
      <c r="M28" s="24">
        <f>SUM(M9:M26)</f>
        <v>98074220</v>
      </c>
      <c r="N28" s="24">
        <f>SUM(N9:N26)</f>
        <v>14693156</v>
      </c>
      <c r="O28" s="24">
        <f>SUM(O9:O26)</f>
        <v>264080511</v>
      </c>
      <c r="P28" s="65"/>
      <c r="Q28" s="54"/>
      <c r="R28" s="20">
        <v>4008310</v>
      </c>
      <c r="S28" s="55">
        <f t="shared" si="2"/>
        <v>0</v>
      </c>
      <c r="T28" s="20" t="s">
        <v>73</v>
      </c>
      <c r="W28" s="56"/>
      <c r="X28" s="70"/>
      <c r="Y28" s="56"/>
      <c r="Z28" s="56"/>
      <c r="AA28" s="57"/>
    </row>
    <row r="29" spans="1:27" s="19" customFormat="1" x14ac:dyDescent="0.3">
      <c r="A29" s="58" t="s">
        <v>32</v>
      </c>
      <c r="B29" s="20"/>
      <c r="C29" s="13"/>
      <c r="D29" s="13"/>
      <c r="E29" s="13"/>
      <c r="F29" s="13"/>
      <c r="G29" s="67"/>
      <c r="H29" s="13"/>
      <c r="I29" s="13"/>
      <c r="J29" s="13"/>
      <c r="K29" s="13"/>
      <c r="L29" s="25"/>
      <c r="M29" s="25"/>
      <c r="N29" s="25"/>
      <c r="O29" s="25"/>
      <c r="Q29" s="54"/>
      <c r="R29" s="20">
        <v>4008311</v>
      </c>
      <c r="S29" s="55">
        <f t="shared" si="2"/>
        <v>0</v>
      </c>
      <c r="T29" s="20" t="s">
        <v>74</v>
      </c>
      <c r="W29" s="56"/>
      <c r="X29" s="70"/>
      <c r="Y29" s="56"/>
      <c r="Z29" s="56"/>
      <c r="AA29" s="57"/>
    </row>
    <row r="30" spans="1:27" s="19" customFormat="1" x14ac:dyDescent="0.3">
      <c r="B30" s="53" t="s">
        <v>33</v>
      </c>
      <c r="C30" s="26"/>
      <c r="D30" s="26"/>
      <c r="E30" s="26"/>
      <c r="F30" s="26">
        <v>138831</v>
      </c>
      <c r="G30" s="26"/>
      <c r="H30" s="26"/>
      <c r="I30" s="26"/>
      <c r="J30" s="26">
        <v>648164</v>
      </c>
      <c r="K30" s="26"/>
      <c r="L30" s="26"/>
      <c r="M30" s="26"/>
      <c r="N30" s="26"/>
      <c r="O30" s="25">
        <f>SUM(C30:N30)</f>
        <v>786995</v>
      </c>
      <c r="Q30" s="54"/>
      <c r="R30" s="20">
        <v>4008315</v>
      </c>
      <c r="S30" s="55">
        <f t="shared" si="2"/>
        <v>0</v>
      </c>
      <c r="T30" s="20" t="s">
        <v>75</v>
      </c>
      <c r="W30" s="56"/>
      <c r="X30" s="70"/>
      <c r="Y30" s="56"/>
      <c r="Z30" s="56"/>
      <c r="AA30" s="57"/>
    </row>
    <row r="31" spans="1:27" s="19" customFormat="1" x14ac:dyDescent="0.3">
      <c r="B31" s="53" t="s">
        <v>34</v>
      </c>
      <c r="C31" s="26"/>
      <c r="D31" s="26"/>
      <c r="E31" s="26"/>
      <c r="F31" s="37">
        <v>3335507</v>
      </c>
      <c r="G31" s="26"/>
      <c r="H31" s="26"/>
      <c r="I31" s="26"/>
      <c r="J31" s="26"/>
      <c r="K31" s="26"/>
      <c r="L31" s="73">
        <v>68402625</v>
      </c>
      <c r="M31" s="26"/>
      <c r="N31" s="26"/>
      <c r="O31" s="25">
        <f>SUM(C31:N31)</f>
        <v>71738132</v>
      </c>
      <c r="Q31" s="54"/>
      <c r="R31" s="91">
        <v>4008402</v>
      </c>
      <c r="S31" s="55">
        <f t="shared" si="2"/>
        <v>-100</v>
      </c>
      <c r="T31" s="20" t="s">
        <v>76</v>
      </c>
      <c r="W31" s="56"/>
      <c r="X31" s="70">
        <v>-100</v>
      </c>
      <c r="Y31" s="56"/>
      <c r="Z31" s="56"/>
      <c r="AA31" s="57"/>
    </row>
    <row r="32" spans="1:27" s="19" customFormat="1" x14ac:dyDescent="0.3">
      <c r="B32" s="53" t="s">
        <v>29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5">
        <f t="shared" ref="O32:O37" si="7">SUM(C32:N32)</f>
        <v>0</v>
      </c>
      <c r="Q32" s="54"/>
      <c r="R32" s="20">
        <v>4009000</v>
      </c>
      <c r="S32" s="55">
        <f t="shared" si="2"/>
        <v>0</v>
      </c>
      <c r="T32" s="20" t="s">
        <v>77</v>
      </c>
      <c r="W32" s="56"/>
      <c r="X32" s="70"/>
      <c r="Y32" s="56"/>
      <c r="Z32" s="56"/>
      <c r="AA32" s="57"/>
    </row>
    <row r="33" spans="1:27" s="19" customFormat="1" x14ac:dyDescent="0.3">
      <c r="B33" s="53" t="s">
        <v>35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>
        <f>SUM(C33:N33)</f>
        <v>0</v>
      </c>
      <c r="Q33" s="54"/>
      <c r="R33" s="20">
        <v>4009001</v>
      </c>
      <c r="S33" s="55">
        <f t="shared" si="2"/>
        <v>0</v>
      </c>
      <c r="T33" s="20" t="s">
        <v>78</v>
      </c>
      <c r="W33" s="56"/>
      <c r="X33" s="70">
        <v>0</v>
      </c>
      <c r="Y33" s="56"/>
      <c r="Z33" s="56"/>
      <c r="AA33" s="57"/>
    </row>
    <row r="34" spans="1:27" s="19" customFormat="1" x14ac:dyDescent="0.3">
      <c r="B34" s="53" t="s">
        <v>36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>
        <f t="shared" si="7"/>
        <v>0</v>
      </c>
      <c r="Q34" s="54"/>
      <c r="R34" s="20">
        <v>4009007</v>
      </c>
      <c r="S34" s="55">
        <f>+X34</f>
        <v>3544221.88</v>
      </c>
      <c r="T34" s="20" t="s">
        <v>79</v>
      </c>
      <c r="W34" s="56"/>
      <c r="X34" s="70">
        <f>655127.25+2889094.63</f>
        <v>3544221.88</v>
      </c>
      <c r="Y34" s="56"/>
      <c r="Z34" s="56"/>
      <c r="AA34" s="57"/>
    </row>
    <row r="35" spans="1:27" s="19" customFormat="1" x14ac:dyDescent="0.3">
      <c r="B35" s="58" t="s">
        <v>46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68">
        <f t="shared" si="7"/>
        <v>0</v>
      </c>
      <c r="Q35" s="54"/>
      <c r="R35" s="20">
        <v>4009060</v>
      </c>
      <c r="S35" s="55">
        <f t="shared" si="2"/>
        <v>0</v>
      </c>
      <c r="T35" s="20" t="s">
        <v>80</v>
      </c>
      <c r="W35" s="56"/>
      <c r="X35" s="70">
        <v>0</v>
      </c>
      <c r="Y35" s="56"/>
      <c r="Z35" s="56"/>
      <c r="AA35" s="57"/>
    </row>
    <row r="36" spans="1:27" s="19" customFormat="1" x14ac:dyDescent="0.3">
      <c r="B36" s="53" t="s">
        <v>48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v>181349570</v>
      </c>
      <c r="O36" s="68">
        <f>SUM(C36:N36)</f>
        <v>181349570</v>
      </c>
      <c r="Q36" s="54"/>
      <c r="R36" s="20">
        <v>4009084</v>
      </c>
      <c r="S36" s="55">
        <f>+X36</f>
        <v>-10000</v>
      </c>
      <c r="T36" s="20" t="s">
        <v>91</v>
      </c>
      <c r="W36" s="56"/>
      <c r="X36" s="70">
        <v>-10000</v>
      </c>
      <c r="Y36" s="56"/>
      <c r="Z36" s="56"/>
      <c r="AA36" s="57"/>
    </row>
    <row r="37" spans="1:27" s="19" customFormat="1" x14ac:dyDescent="0.3">
      <c r="B37" s="58" t="s">
        <v>47</v>
      </c>
      <c r="C37" s="26"/>
      <c r="D37" s="28"/>
      <c r="E37" s="28"/>
      <c r="F37" s="28"/>
      <c r="G37" s="28"/>
      <c r="H37" s="26"/>
      <c r="I37" s="26"/>
      <c r="J37" s="26"/>
      <c r="K37" s="26"/>
      <c r="L37" s="26"/>
      <c r="M37" s="69"/>
      <c r="N37" s="24"/>
      <c r="O37" s="68">
        <f t="shared" si="7"/>
        <v>0</v>
      </c>
      <c r="Q37" s="54"/>
      <c r="R37" s="20">
        <v>4009999</v>
      </c>
      <c r="S37" s="55">
        <f>+X37</f>
        <v>0</v>
      </c>
      <c r="T37" s="20" t="s">
        <v>106</v>
      </c>
      <c r="W37" s="56"/>
      <c r="X37" s="70">
        <v>0</v>
      </c>
      <c r="Y37" s="56"/>
      <c r="Z37" s="56"/>
    </row>
    <row r="38" spans="1:27" s="12" customFormat="1" x14ac:dyDescent="0.3">
      <c r="A38" s="19"/>
      <c r="B38" s="53" t="s">
        <v>37</v>
      </c>
      <c r="C38" s="27">
        <f t="shared" ref="C38:N38" si="8">SUM(C35:C37)</f>
        <v>0</v>
      </c>
      <c r="D38" s="24">
        <f t="shared" si="8"/>
        <v>0</v>
      </c>
      <c r="E38" s="24">
        <f t="shared" si="8"/>
        <v>0</v>
      </c>
      <c r="F38" s="24">
        <f t="shared" si="8"/>
        <v>0</v>
      </c>
      <c r="G38" s="27">
        <f t="shared" si="8"/>
        <v>0</v>
      </c>
      <c r="H38" s="27">
        <f t="shared" si="8"/>
        <v>0</v>
      </c>
      <c r="I38" s="27">
        <f t="shared" si="8"/>
        <v>0</v>
      </c>
      <c r="J38" s="27">
        <f t="shared" si="8"/>
        <v>0</v>
      </c>
      <c r="K38" s="27">
        <f t="shared" si="8"/>
        <v>0</v>
      </c>
      <c r="L38" s="27">
        <f t="shared" si="8"/>
        <v>0</v>
      </c>
      <c r="M38" s="24">
        <f t="shared" si="8"/>
        <v>0</v>
      </c>
      <c r="N38" s="24">
        <f t="shared" si="8"/>
        <v>181349570</v>
      </c>
      <c r="O38" s="27">
        <f>SUM(O35:O37)</f>
        <v>181349570</v>
      </c>
      <c r="P38" s="19"/>
      <c r="Q38" s="54"/>
      <c r="R38" s="20"/>
      <c r="S38" s="55"/>
      <c r="T38" s="20" t="s">
        <v>103</v>
      </c>
      <c r="U38" s="19"/>
      <c r="V38" s="19"/>
      <c r="W38" s="56"/>
      <c r="X38" s="70">
        <v>0</v>
      </c>
      <c r="Y38" s="56"/>
      <c r="Z38" s="56"/>
    </row>
    <row r="39" spans="1:27" ht="15.75" customHeight="1" x14ac:dyDescent="0.3">
      <c r="A39" s="12"/>
      <c r="B39" s="77" t="s">
        <v>38</v>
      </c>
      <c r="C39" s="24">
        <f t="shared" ref="C39:O39" si="9">SUM(C30:C37)</f>
        <v>0</v>
      </c>
      <c r="D39" s="24">
        <f t="shared" si="9"/>
        <v>0</v>
      </c>
      <c r="E39" s="24">
        <f t="shared" si="9"/>
        <v>0</v>
      </c>
      <c r="F39" s="24">
        <f t="shared" si="9"/>
        <v>3474338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>
        <f t="shared" si="9"/>
        <v>648164</v>
      </c>
      <c r="K39" s="24">
        <f t="shared" si="9"/>
        <v>0</v>
      </c>
      <c r="L39" s="24">
        <f t="shared" si="9"/>
        <v>68402625</v>
      </c>
      <c r="M39" s="24">
        <f t="shared" si="9"/>
        <v>0</v>
      </c>
      <c r="N39" s="24">
        <f t="shared" si="9"/>
        <v>181349570</v>
      </c>
      <c r="O39" s="24">
        <f t="shared" si="9"/>
        <v>253874697</v>
      </c>
      <c r="P39" s="12"/>
      <c r="R39" s="42"/>
      <c r="S39" s="55"/>
      <c r="T39" s="11" t="s">
        <v>104</v>
      </c>
      <c r="U39" s="12"/>
      <c r="V39" s="12"/>
      <c r="X39" s="70">
        <v>0</v>
      </c>
    </row>
    <row r="40" spans="1:27" x14ac:dyDescent="0.3">
      <c r="A40" s="3"/>
      <c r="B40" s="20"/>
      <c r="C40" s="13"/>
      <c r="D40" s="13"/>
      <c r="E40" s="13"/>
      <c r="F40" s="13"/>
      <c r="G40" s="67"/>
      <c r="H40" s="46">
        <f>H6+H28-H39</f>
        <v>114717074</v>
      </c>
      <c r="I40" s="46">
        <f>I6+I28-I39</f>
        <v>122272500</v>
      </c>
      <c r="J40" s="78">
        <f>J6+J28-J39</f>
        <v>201815464</v>
      </c>
      <c r="K40" s="79">
        <f>K6+K28-K39</f>
        <v>209401868</v>
      </c>
      <c r="L40" s="25"/>
      <c r="M40" s="25"/>
      <c r="N40" s="25"/>
      <c r="O40" s="80"/>
      <c r="S40" s="55"/>
      <c r="T40" s="3" t="s">
        <v>105</v>
      </c>
      <c r="X40" s="70">
        <v>0</v>
      </c>
    </row>
    <row r="41" spans="1:27" x14ac:dyDescent="0.3">
      <c r="A41" s="2" t="s">
        <v>39</v>
      </c>
      <c r="B41" s="20"/>
      <c r="C41" s="13"/>
      <c r="D41" s="13"/>
      <c r="E41" s="13"/>
      <c r="F41" s="13"/>
      <c r="G41" s="67"/>
      <c r="H41" s="13"/>
      <c r="I41" s="13"/>
      <c r="J41" s="13"/>
      <c r="K41" s="13"/>
      <c r="L41" s="25"/>
      <c r="M41" s="25"/>
      <c r="N41" s="25"/>
      <c r="O41" s="25"/>
      <c r="S41" s="55"/>
      <c r="T41" s="3" t="s">
        <v>101</v>
      </c>
      <c r="X41" s="70">
        <v>0</v>
      </c>
      <c r="AA41" s="39"/>
    </row>
    <row r="42" spans="1:27" s="19" customFormat="1" x14ac:dyDescent="0.3">
      <c r="B42" s="53" t="s">
        <v>14</v>
      </c>
      <c r="C42" s="24">
        <f>+C6+C28-C39</f>
        <v>76454520</v>
      </c>
      <c r="D42" s="24">
        <f t="shared" ref="D42:M42" si="10">+D6+D28-D39</f>
        <v>86780167</v>
      </c>
      <c r="E42" s="24">
        <f t="shared" si="10"/>
        <v>95099373</v>
      </c>
      <c r="F42" s="24">
        <f t="shared" si="10"/>
        <v>98801356</v>
      </c>
      <c r="G42" s="24">
        <f t="shared" si="10"/>
        <v>105707121</v>
      </c>
      <c r="H42" s="24">
        <f t="shared" si="10"/>
        <v>114717074</v>
      </c>
      <c r="I42" s="24">
        <f>+I6+I28-I39</f>
        <v>122272500</v>
      </c>
      <c r="J42" s="24">
        <f t="shared" si="10"/>
        <v>201815464</v>
      </c>
      <c r="K42" s="24">
        <f t="shared" si="10"/>
        <v>209401868</v>
      </c>
      <c r="L42" s="24">
        <f>+L6+L28-L39</f>
        <v>150238050</v>
      </c>
      <c r="M42" s="24">
        <f t="shared" si="10"/>
        <v>248312270</v>
      </c>
      <c r="N42" s="24">
        <f>+N6+N28-N39</f>
        <v>81655856</v>
      </c>
      <c r="O42" s="24">
        <f>+O6+O28-O39</f>
        <v>81655856</v>
      </c>
      <c r="Q42" s="54"/>
      <c r="R42" s="3"/>
      <c r="S42" s="39"/>
      <c r="T42" s="3" t="s">
        <v>102</v>
      </c>
      <c r="U42"/>
      <c r="V42"/>
      <c r="W42" s="43"/>
      <c r="X42" s="70">
        <v>0</v>
      </c>
      <c r="Y42" s="43"/>
      <c r="Z42" s="43"/>
    </row>
    <row r="43" spans="1:27" ht="16.2" thickBot="1" x14ac:dyDescent="0.35">
      <c r="A43" s="2" t="s">
        <v>40</v>
      </c>
      <c r="B43" s="20"/>
      <c r="C43" s="25">
        <f>SUM(C42:C42)</f>
        <v>76454520</v>
      </c>
      <c r="D43" s="25">
        <f t="shared" ref="D43:K43" si="11">SUM(D42:D42)</f>
        <v>86780167</v>
      </c>
      <c r="E43" s="25">
        <f>SUM(E42:E42)</f>
        <v>95099373</v>
      </c>
      <c r="F43" s="25">
        <f t="shared" si="11"/>
        <v>98801356</v>
      </c>
      <c r="G43" s="25">
        <f>SUM(G42:G42)</f>
        <v>105707121</v>
      </c>
      <c r="H43" s="25">
        <f t="shared" si="11"/>
        <v>114717074</v>
      </c>
      <c r="I43" s="25">
        <f>SUM(I42:I42)</f>
        <v>122272500</v>
      </c>
      <c r="J43" s="25">
        <f t="shared" si="11"/>
        <v>201815464</v>
      </c>
      <c r="K43" s="25">
        <f t="shared" si="11"/>
        <v>209401868</v>
      </c>
      <c r="L43" s="25">
        <f>SUM(L42:L42)</f>
        <v>150238050</v>
      </c>
      <c r="M43" s="25">
        <f>SUM(M42:M42)</f>
        <v>248312270</v>
      </c>
      <c r="N43" s="25">
        <f>SUM(N42:N42)</f>
        <v>81655856</v>
      </c>
      <c r="O43" s="25">
        <f>SUM(O42:O42)</f>
        <v>81655856</v>
      </c>
      <c r="R43" s="88" t="s">
        <v>81</v>
      </c>
      <c r="S43" s="89">
        <f>SUM(S9:S42)</f>
        <v>13108847.989999998</v>
      </c>
      <c r="T43" s="20"/>
      <c r="U43" s="19"/>
      <c r="V43" s="19"/>
      <c r="W43" s="90"/>
      <c r="X43" s="90">
        <f>SUM(X9:X42)</f>
        <v>13108847.989999998</v>
      </c>
      <c r="Y43" s="89">
        <f>SUM(Y9:Y42)</f>
        <v>0</v>
      </c>
      <c r="Z43" s="89">
        <f>SUM(Z9:Z42)</f>
        <v>0</v>
      </c>
    </row>
    <row r="44" spans="1:27" ht="16.2" thickTop="1" x14ac:dyDescent="0.3">
      <c r="A44" s="75"/>
      <c r="B44" s="74" t="s">
        <v>41</v>
      </c>
      <c r="C44" s="68">
        <f>-22304951+C30+C33</f>
        <v>-22304951</v>
      </c>
      <c r="D44" s="68">
        <f t="shared" ref="D44:H44" si="12">C44+D30+D33</f>
        <v>-22304951</v>
      </c>
      <c r="E44" s="68">
        <f t="shared" si="12"/>
        <v>-22304951</v>
      </c>
      <c r="F44" s="68">
        <f t="shared" si="12"/>
        <v>-22166120</v>
      </c>
      <c r="G44" s="68">
        <f t="shared" si="12"/>
        <v>-22166120</v>
      </c>
      <c r="H44" s="68">
        <f t="shared" si="12"/>
        <v>-22166120</v>
      </c>
      <c r="I44" s="68">
        <f t="shared" ref="I44:N44" si="13">H44+I30+I33</f>
        <v>-22166120</v>
      </c>
      <c r="J44" s="68">
        <f t="shared" si="13"/>
        <v>-21517956</v>
      </c>
      <c r="K44" s="68">
        <f t="shared" si="13"/>
        <v>-21517956</v>
      </c>
      <c r="L44" s="68">
        <f t="shared" si="13"/>
        <v>-21517956</v>
      </c>
      <c r="M44" s="68">
        <f t="shared" si="13"/>
        <v>-21517956</v>
      </c>
      <c r="N44" s="68">
        <f t="shared" si="13"/>
        <v>-21517956</v>
      </c>
      <c r="O44" s="68">
        <f>IF(N44&lt;0,N44,IF(M44&lt;0,M44,IF(L44&lt;0,L44,IF(K44&lt;0,K44,IF(J44&lt;0,J44,IF(G44&lt;0,G44,IF(I44&lt;0,I44,IF(H44&lt;0,H44,IF(F44&lt;0,F44,IF(E44&lt;0,E44,IF(D44&lt;0,D44,IF(C44&lt;0,C44,0))))))))))))</f>
        <v>-21517956</v>
      </c>
      <c r="X44" s="70">
        <f>5351118.97+7757729.02</f>
        <v>13108847.989999998</v>
      </c>
    </row>
    <row r="45" spans="1:27" x14ac:dyDescent="0.3">
      <c r="A45" s="19"/>
      <c r="B45" s="58" t="s">
        <v>98</v>
      </c>
      <c r="C45" s="68">
        <v>0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>
        <f>IF(N45&lt;0,N45,IF(M45&lt;0,M45,IF(L45&lt;0,L45,IF(K45&lt;0,K45,IF(J45&lt;0,J45,IF(G45&lt;0,G45,IF(I45&lt;0,I45,IF(H45&lt;0,H45,IF(F45&lt;0,F45,IF(E45&lt;0,E45,IF(D45&lt;0,D45,IF(C45&lt;0,C45,0))))))))))))</f>
        <v>0</v>
      </c>
      <c r="X45" s="70">
        <f>X44-X43</f>
        <v>0</v>
      </c>
    </row>
    <row r="46" spans="1:27" ht="16.2" thickBot="1" x14ac:dyDescent="0.35">
      <c r="A46" s="2" t="s">
        <v>42</v>
      </c>
      <c r="B46" s="20"/>
      <c r="C46" s="16">
        <f>SUM(C43:C45)</f>
        <v>54149569</v>
      </c>
      <c r="D46" s="16">
        <f>SUM(D43:D45)</f>
        <v>64475216</v>
      </c>
      <c r="E46" s="16">
        <f t="shared" ref="E46" si="14">SUM(E43:E45)</f>
        <v>72794422</v>
      </c>
      <c r="F46" s="16">
        <f t="shared" ref="F46:K46" si="15">SUM(F43:F45)</f>
        <v>76635236</v>
      </c>
      <c r="G46" s="16">
        <f t="shared" si="15"/>
        <v>83541001</v>
      </c>
      <c r="H46" s="16">
        <f>SUM(H43:H45)</f>
        <v>92550954</v>
      </c>
      <c r="I46" s="16">
        <f t="shared" si="15"/>
        <v>100106380</v>
      </c>
      <c r="J46" s="16">
        <f t="shared" si="15"/>
        <v>180297508</v>
      </c>
      <c r="K46" s="16">
        <f t="shared" si="15"/>
        <v>187883912</v>
      </c>
      <c r="L46" s="16">
        <f>SUM(L43:L45)</f>
        <v>128720094</v>
      </c>
      <c r="M46" s="16">
        <f>SUM(M43:M45)</f>
        <v>226794314</v>
      </c>
      <c r="N46" s="16">
        <f>SUM(N43:N45)</f>
        <v>60137900</v>
      </c>
      <c r="O46" s="16">
        <f>SUM(O43:O45)</f>
        <v>60137900</v>
      </c>
      <c r="S46" s="39">
        <f>S43-X44</f>
        <v>0</v>
      </c>
    </row>
    <row r="47" spans="1:27" ht="16.2" thickTop="1" x14ac:dyDescent="0.3">
      <c r="A47" s="2"/>
      <c r="B47" s="20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27" s="35" customFormat="1" x14ac:dyDescent="0.3">
      <c r="A48" s="2"/>
      <c r="B48" s="2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/>
      <c r="Q48" s="23"/>
      <c r="R48" s="3"/>
      <c r="S48" s="39"/>
      <c r="T48" s="3"/>
      <c r="U48"/>
      <c r="V48"/>
      <c r="W48" s="43"/>
      <c r="X48" s="70"/>
      <c r="Y48" s="43"/>
      <c r="Z48" s="43"/>
    </row>
    <row r="49" spans="1:26" hidden="1" x14ac:dyDescent="0.3">
      <c r="A49" s="76" t="s">
        <v>99</v>
      </c>
      <c r="B49" s="81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5"/>
      <c r="Z49" s="44"/>
    </row>
    <row r="50" spans="1:26" x14ac:dyDescent="0.3">
      <c r="B50" s="82"/>
      <c r="C50" s="14"/>
      <c r="D50" s="14"/>
      <c r="E50" s="14"/>
      <c r="F50" s="36"/>
      <c r="G50" s="14"/>
      <c r="H50" s="14"/>
      <c r="I50" s="36"/>
      <c r="J50" s="14"/>
      <c r="K50" s="14"/>
      <c r="L50" s="14"/>
      <c r="M50" s="14"/>
      <c r="N50" s="14"/>
      <c r="O50" s="14"/>
      <c r="Q50" s="40"/>
      <c r="R50" s="31"/>
      <c r="S50" s="41"/>
      <c r="T50" s="31"/>
      <c r="U50" s="35"/>
      <c r="V50" s="35"/>
      <c r="W50" s="44"/>
      <c r="X50" s="71"/>
      <c r="Y50" s="44"/>
    </row>
    <row r="51" spans="1:26" x14ac:dyDescent="0.3">
      <c r="A51" s="2" t="s">
        <v>0</v>
      </c>
      <c r="B51" s="20"/>
      <c r="C51" s="20"/>
      <c r="D51" s="20"/>
      <c r="E51" s="20"/>
      <c r="F51" s="33"/>
      <c r="G51" s="67"/>
      <c r="H51" s="20"/>
      <c r="I51" s="20"/>
      <c r="J51" s="33"/>
      <c r="K51" s="20"/>
      <c r="L51" s="20"/>
      <c r="M51" s="20"/>
      <c r="N51" s="20"/>
      <c r="O51" s="20"/>
    </row>
    <row r="52" spans="1:26" x14ac:dyDescent="0.3">
      <c r="A52" s="7" t="s">
        <v>107</v>
      </c>
      <c r="B52" s="20"/>
      <c r="C52" s="22"/>
      <c r="D52" s="20"/>
      <c r="E52" s="20"/>
      <c r="F52" s="20"/>
      <c r="G52" s="67"/>
      <c r="H52" s="20"/>
      <c r="I52" s="20"/>
      <c r="J52" s="20"/>
      <c r="K52" s="20"/>
      <c r="L52" s="20"/>
      <c r="M52" s="20"/>
      <c r="N52" s="20"/>
      <c r="O52" s="20"/>
    </row>
    <row r="53" spans="1:26" x14ac:dyDescent="0.3">
      <c r="A53" s="3"/>
      <c r="B53" s="20"/>
      <c r="C53" s="21" t="s">
        <v>1</v>
      </c>
      <c r="D53" s="21" t="s">
        <v>2</v>
      </c>
      <c r="E53" s="83" t="s">
        <v>3</v>
      </c>
      <c r="F53" s="21" t="s">
        <v>4</v>
      </c>
      <c r="G53" s="84" t="s">
        <v>5</v>
      </c>
      <c r="H53" s="21" t="s">
        <v>6</v>
      </c>
      <c r="I53" s="83" t="s">
        <v>7</v>
      </c>
      <c r="J53" s="83" t="s">
        <v>8</v>
      </c>
      <c r="K53" s="21" t="s">
        <v>9</v>
      </c>
      <c r="L53" s="83" t="s">
        <v>10</v>
      </c>
      <c r="M53" s="83" t="s">
        <v>11</v>
      </c>
      <c r="N53" s="83" t="s">
        <v>100</v>
      </c>
      <c r="O53" s="21"/>
    </row>
    <row r="54" spans="1:26" x14ac:dyDescent="0.3">
      <c r="A54" s="7" t="s">
        <v>43</v>
      </c>
      <c r="B54" s="20"/>
      <c r="C54" s="13"/>
      <c r="D54" s="13"/>
      <c r="E54" s="13"/>
      <c r="F54" s="13"/>
      <c r="G54" s="67"/>
      <c r="H54" s="13"/>
      <c r="I54" s="13"/>
      <c r="J54" s="13"/>
      <c r="K54" s="13"/>
      <c r="L54" s="13"/>
      <c r="M54" s="13"/>
      <c r="N54" s="13"/>
      <c r="O54" s="13"/>
    </row>
    <row r="55" spans="1:26" x14ac:dyDescent="0.3">
      <c r="B55" s="53" t="s">
        <v>44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f>+M59</f>
        <v>0</v>
      </c>
      <c r="O55" s="15"/>
    </row>
    <row r="56" spans="1:26" x14ac:dyDescent="0.3">
      <c r="B56" s="53" t="s">
        <v>35</v>
      </c>
      <c r="C56" s="25">
        <f>+C33</f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f>+N33</f>
        <v>0</v>
      </c>
      <c r="O56" s="85"/>
    </row>
    <row r="57" spans="1:26" x14ac:dyDescent="0.3">
      <c r="B57" s="58" t="s">
        <v>57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85"/>
    </row>
    <row r="58" spans="1:26" x14ac:dyDescent="0.3">
      <c r="B58" s="53" t="s">
        <v>56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85"/>
    </row>
    <row r="59" spans="1:26" ht="16.2" thickBot="1" x14ac:dyDescent="0.35">
      <c r="B59" s="53" t="s">
        <v>45</v>
      </c>
      <c r="C59" s="16">
        <f t="shared" ref="C59:M59" si="16">SUM(C55:C58)</f>
        <v>0</v>
      </c>
      <c r="D59" s="16">
        <f t="shared" si="16"/>
        <v>0</v>
      </c>
      <c r="E59" s="16">
        <f t="shared" si="16"/>
        <v>0</v>
      </c>
      <c r="F59" s="16">
        <f t="shared" si="16"/>
        <v>0</v>
      </c>
      <c r="G59" s="16">
        <f t="shared" si="16"/>
        <v>0</v>
      </c>
      <c r="H59" s="16">
        <f t="shared" si="16"/>
        <v>0</v>
      </c>
      <c r="I59" s="16">
        <f>SUM(I55:I58)</f>
        <v>0</v>
      </c>
      <c r="J59" s="16">
        <f t="shared" si="16"/>
        <v>0</v>
      </c>
      <c r="K59" s="16">
        <f t="shared" si="16"/>
        <v>0</v>
      </c>
      <c r="L59" s="16">
        <f t="shared" si="16"/>
        <v>0</v>
      </c>
      <c r="M59" s="16">
        <f t="shared" si="16"/>
        <v>0</v>
      </c>
      <c r="N59" s="16">
        <f>SUM(N55:N58)</f>
        <v>0</v>
      </c>
      <c r="O59" s="18"/>
    </row>
    <row r="60" spans="1:26" ht="16.2" thickTop="1" x14ac:dyDescent="0.3">
      <c r="B60" s="53"/>
      <c r="C60" s="14"/>
      <c r="D60" s="14"/>
      <c r="E60" s="14"/>
      <c r="F60" s="14"/>
      <c r="G60" s="14"/>
      <c r="H60" s="18"/>
      <c r="I60" s="86"/>
      <c r="J60" s="86"/>
      <c r="K60" s="86"/>
      <c r="L60" s="86"/>
      <c r="M60" s="86"/>
      <c r="N60" s="86"/>
      <c r="O60" s="14"/>
    </row>
    <row r="61" spans="1:26" x14ac:dyDescent="0.3">
      <c r="A61" s="7" t="s">
        <v>58</v>
      </c>
      <c r="B61" s="20"/>
      <c r="C61" s="13"/>
      <c r="D61" s="13"/>
      <c r="E61" s="13"/>
      <c r="F61" s="13"/>
      <c r="G61" s="67"/>
      <c r="H61" s="19"/>
      <c r="I61" s="33"/>
      <c r="J61" s="13"/>
      <c r="K61" s="13"/>
      <c r="L61" s="13"/>
      <c r="M61" s="13"/>
      <c r="N61" s="13"/>
      <c r="O61" s="85"/>
    </row>
    <row r="62" spans="1:26" x14ac:dyDescent="0.3">
      <c r="A62" s="3"/>
      <c r="B62" s="53" t="s">
        <v>52</v>
      </c>
      <c r="C62" s="15">
        <v>108515932</v>
      </c>
      <c r="D62" s="15">
        <v>105624293</v>
      </c>
      <c r="E62" s="15">
        <v>104102855</v>
      </c>
      <c r="F62" s="15">
        <v>102907026</v>
      </c>
      <c r="G62" s="15">
        <v>102024337</v>
      </c>
      <c r="H62" s="15">
        <v>99518753</v>
      </c>
      <c r="I62" s="15">
        <v>98112308</v>
      </c>
      <c r="J62" s="15">
        <v>96916609</v>
      </c>
      <c r="K62" s="15">
        <v>95864226</v>
      </c>
      <c r="L62" s="15">
        <v>94627800</v>
      </c>
      <c r="M62" s="15">
        <v>94550146</v>
      </c>
      <c r="N62" s="25">
        <v>94054565</v>
      </c>
      <c r="O62" s="85"/>
    </row>
    <row r="63" spans="1:26" x14ac:dyDescent="0.3">
      <c r="A63" s="3"/>
      <c r="B63" s="53" t="s">
        <v>53</v>
      </c>
      <c r="C63" s="47">
        <v>3125000</v>
      </c>
      <c r="D63" s="25">
        <v>3125000</v>
      </c>
      <c r="E63" s="25">
        <v>3125000</v>
      </c>
      <c r="F63" s="25">
        <v>3125000</v>
      </c>
      <c r="G63" s="25">
        <v>3125000</v>
      </c>
      <c r="H63" s="25">
        <v>3125000</v>
      </c>
      <c r="I63" s="25">
        <v>2750000</v>
      </c>
      <c r="J63" s="25">
        <v>2750000</v>
      </c>
      <c r="K63" s="25">
        <v>2500000</v>
      </c>
      <c r="L63" s="25">
        <v>2500000</v>
      </c>
      <c r="M63" s="25">
        <v>2500000</v>
      </c>
      <c r="N63" s="25">
        <v>2500000</v>
      </c>
      <c r="O63" s="85"/>
    </row>
    <row r="64" spans="1:26" ht="16.2" thickBot="1" x14ac:dyDescent="0.35">
      <c r="A64" s="3"/>
      <c r="B64" s="7" t="s">
        <v>54</v>
      </c>
      <c r="C64" s="38">
        <f>SUM(C60:C63)</f>
        <v>111640932</v>
      </c>
      <c r="D64" s="16">
        <f t="shared" ref="D64:N64" si="17">SUM(D60:D63)</f>
        <v>108749293</v>
      </c>
      <c r="E64" s="38">
        <f>SUM(E60:E63)</f>
        <v>107227855</v>
      </c>
      <c r="F64" s="16">
        <f t="shared" si="17"/>
        <v>106032026</v>
      </c>
      <c r="G64" s="16">
        <f>SUM(G60:G63)</f>
        <v>105149337</v>
      </c>
      <c r="H64" s="16">
        <f>SUM(H60:H63)</f>
        <v>102643753</v>
      </c>
      <c r="I64" s="16">
        <f t="shared" si="17"/>
        <v>100862308</v>
      </c>
      <c r="J64" s="16">
        <f t="shared" si="17"/>
        <v>99666609</v>
      </c>
      <c r="K64" s="16">
        <f t="shared" si="17"/>
        <v>98364226</v>
      </c>
      <c r="L64" s="16">
        <f t="shared" si="17"/>
        <v>97127800</v>
      </c>
      <c r="M64" s="16">
        <f t="shared" si="17"/>
        <v>97050146</v>
      </c>
      <c r="N64" s="16">
        <f t="shared" si="17"/>
        <v>96554565</v>
      </c>
      <c r="O64" s="8"/>
    </row>
    <row r="65" spans="1:15" ht="16.2" thickTop="1" x14ac:dyDescent="0.3">
      <c r="A65" s="3"/>
      <c r="B65" s="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8"/>
    </row>
    <row r="66" spans="1:15" x14ac:dyDescent="0.3">
      <c r="A66" s="76"/>
      <c r="B66" s="3"/>
      <c r="C66" s="13"/>
      <c r="D66" s="13"/>
      <c r="E66" s="5"/>
      <c r="F66" s="13"/>
      <c r="G66" s="10"/>
      <c r="I66" s="11"/>
      <c r="J66" s="5"/>
      <c r="K66" s="5"/>
      <c r="L66" s="5"/>
      <c r="M66" s="5"/>
      <c r="N66" s="13"/>
      <c r="O66" s="8"/>
    </row>
    <row r="67" spans="1:15" x14ac:dyDescent="0.3">
      <c r="B67" s="49" t="s">
        <v>55</v>
      </c>
      <c r="C67" s="48">
        <f>ROUNDDOWN(+C62+C17+C63+C58-112866439-3125000,0)</f>
        <v>0</v>
      </c>
      <c r="D67" s="48">
        <f t="shared" ref="D67:J67" si="18">ROUNDDOWN(+D62+D17+D63+D58-C62-C63,0)</f>
        <v>0</v>
      </c>
      <c r="E67" s="48">
        <f t="shared" si="18"/>
        <v>0</v>
      </c>
      <c r="F67" s="48">
        <f t="shared" si="18"/>
        <v>0</v>
      </c>
      <c r="G67" s="48">
        <f t="shared" si="18"/>
        <v>0</v>
      </c>
      <c r="H67" s="48">
        <f t="shared" si="18"/>
        <v>0</v>
      </c>
      <c r="I67" s="48">
        <f t="shared" si="18"/>
        <v>0</v>
      </c>
      <c r="J67" s="48">
        <f t="shared" si="18"/>
        <v>0</v>
      </c>
      <c r="K67" s="48">
        <f>ROUNDDOWN(+K62+K17+K63+K58-J62-J63,0)</f>
        <v>0</v>
      </c>
      <c r="L67" s="48">
        <f>ROUNDDOWN(+L62+L17+L63+L58-K62-K63,0)</f>
        <v>0</v>
      </c>
      <c r="M67" s="48">
        <f>ROUNDDOWN(+M62+M17+M63+M58-L62-L63,0)</f>
        <v>0</v>
      </c>
      <c r="N67" s="92">
        <f>ROUNDDOWN(+N62+N17+N63+N58-M62-M63,0)</f>
        <v>0</v>
      </c>
      <c r="O67" s="1"/>
    </row>
    <row r="68" spans="1:15" x14ac:dyDescent="0.3">
      <c r="A68" s="2"/>
      <c r="C68" s="85"/>
      <c r="D68" s="32"/>
      <c r="E68" s="1"/>
      <c r="F68" s="32"/>
      <c r="H68" s="1"/>
      <c r="I68" s="1"/>
      <c r="J68" s="29"/>
      <c r="K68" s="29"/>
      <c r="L68" s="29"/>
      <c r="M68" s="1"/>
      <c r="N68" s="87"/>
      <c r="O68" s="1"/>
    </row>
    <row r="69" spans="1:15" x14ac:dyDescent="0.3">
      <c r="C69" s="85"/>
      <c r="D69" s="32"/>
      <c r="E69" s="1"/>
      <c r="F69" s="32"/>
      <c r="H69" s="1"/>
      <c r="I69" s="1"/>
      <c r="J69" s="32"/>
      <c r="K69" s="1"/>
      <c r="L69" s="1"/>
      <c r="M69" s="1"/>
      <c r="N69" s="25"/>
      <c r="O69" s="1"/>
    </row>
    <row r="70" spans="1:15" x14ac:dyDescent="0.3">
      <c r="C70" s="85"/>
      <c r="D70" s="32"/>
      <c r="E70" s="1"/>
      <c r="F70" s="32"/>
      <c r="H70" s="1"/>
      <c r="I70" s="1"/>
      <c r="J70" s="1"/>
      <c r="K70" s="1"/>
      <c r="L70" s="1"/>
      <c r="M70" s="1"/>
      <c r="N70" s="25"/>
      <c r="O70" s="1"/>
    </row>
    <row r="71" spans="1:15" x14ac:dyDescent="0.3">
      <c r="C71" s="85"/>
      <c r="D71" s="32"/>
      <c r="E71" s="1"/>
      <c r="F71" s="32"/>
      <c r="H71" s="1"/>
      <c r="I71" s="1"/>
      <c r="J71" s="1"/>
      <c r="K71" s="1"/>
      <c r="L71" s="1"/>
      <c r="M71" s="1"/>
      <c r="N71" s="25"/>
      <c r="O71" s="1"/>
    </row>
    <row r="72" spans="1:15" x14ac:dyDescent="0.3">
      <c r="C72" s="85"/>
      <c r="D72" s="32"/>
      <c r="E72" s="1"/>
      <c r="F72" s="32"/>
      <c r="H72" s="1"/>
      <c r="I72" s="1"/>
      <c r="J72" s="1"/>
      <c r="K72" s="1"/>
      <c r="L72" s="1"/>
      <c r="M72" s="1"/>
      <c r="N72" s="25"/>
      <c r="O72" s="1"/>
    </row>
    <row r="73" spans="1:15" x14ac:dyDescent="0.3">
      <c r="C73" s="85"/>
    </row>
    <row r="74" spans="1:15" x14ac:dyDescent="0.3">
      <c r="C74" s="85"/>
    </row>
    <row r="75" spans="1:15" x14ac:dyDescent="0.3">
      <c r="C75" s="85"/>
    </row>
  </sheetData>
  <phoneticPr fontId="3" type="noConversion"/>
  <printOptions gridLinesSet="0"/>
  <pageMargins left="0" right="0" top="0.75" bottom="0.43" header="0" footer="0.17"/>
  <pageSetup scale="68" fitToWidth="0" fitToHeight="0" orientation="landscape" r:id="rId1"/>
  <headerFooter alignWithMargins="0">
    <oddFooter>&amp;R&amp;"CG Times,Regular"&amp;8&amp;D 
 &amp;F</oddFooter>
  </headerFooter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lit 2018</vt:lpstr>
      <vt:lpstr>'lit 2018'!Print_Area</vt:lpstr>
      <vt:lpstr>Print_Area_MI</vt:lpstr>
      <vt:lpstr>'lit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TRUST ACCOUNTING, OPERATIONS DI</dc:creator>
  <cp:lastModifiedBy>Owner</cp:lastModifiedBy>
  <cp:lastPrinted>2018-07-24T20:02:13Z</cp:lastPrinted>
  <dcterms:created xsi:type="dcterms:W3CDTF">1997-08-15T18:05:00Z</dcterms:created>
  <dcterms:modified xsi:type="dcterms:W3CDTF">2018-11-02T15:44:38Z</dcterms:modified>
</cp:coreProperties>
</file>